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4.xml" ContentType="application/vnd.openxmlformats-officedocument.spreadsheetml.worksheet+xml"/>
  <Override PartName="/xl/drawings/drawing2.xml" ContentType="application/vnd.openxmlformats-officedocument.drawing+xml"/>
  <Override PartName="/xl/worksheets/sheet5.xml" ContentType="application/vnd.openxmlformats-officedocument.spreadsheetml.worksheet+xml"/>
  <Override PartName="/xl/drawings/drawing3.xml" ContentType="application/vnd.openxmlformats-officedocument.drawing+xml"/>
  <Override PartName="/xl/worksheets/sheet6.xml" ContentType="application/vnd.openxmlformats-officedocument.spreadsheetml.worksheet+xml"/>
  <Override PartName="/xl/drawings/drawing4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tart" sheetId="1" state="visible" r:id="rId1"/>
    <sheet xmlns:r="http://schemas.openxmlformats.org/officeDocument/2006/relationships" name="Data" sheetId="2" state="visible" r:id="rId2"/>
    <sheet xmlns:r="http://schemas.openxmlformats.org/officeDocument/2006/relationships" name="Summary" sheetId="3" state="visible" r:id="rId3"/>
    <sheet xmlns:r="http://schemas.openxmlformats.org/officeDocument/2006/relationships" name="Histogram" sheetId="4" state="visible" r:id="rId4"/>
    <sheet xmlns:r="http://schemas.openxmlformats.org/officeDocument/2006/relationships" name="Run Chart" sheetId="5" state="visible" r:id="rId5"/>
    <sheet xmlns:r="http://schemas.openxmlformats.org/officeDocument/2006/relationships" name="Scatter" sheetId="6" state="visible" r:id="rId6"/>
  </sheets>
  <definedNames>
    <definedName name="_xlnm.Print_Area" localSheetId="1">'Data'!$A$1:$G$45</definedName>
    <definedName name="_xlnm.Print_Area" localSheetId="2">'Summary'!$A$1:$L$45</definedName>
    <definedName name="_xlnm.Print_Area" localSheetId="4">'Run Chart'!$A$1:$N$45</definedName>
    <definedName name="_xlnm.Print_Area" localSheetId="5">'Scatter'!$A$1:$N$45</definedName>
  </definedNames>
  <calcPr calcId="124519" fullCalcOnLoad="1"/>
</workbook>
</file>

<file path=xl/styles.xml><?xml version="1.0" encoding="utf-8"?>
<styleSheet xmlns="http://schemas.openxmlformats.org/spreadsheetml/2006/main">
  <numFmts count="5">
    <numFmt numFmtId="164" formatCode="yyyy-mm-dd"/>
    <numFmt numFmtId="165" formatCode="0.0"/>
    <numFmt numFmtId="166" formatCode="0.0%"/>
    <numFmt numFmtId="167" formatCode="0.000"/>
    <numFmt numFmtId="168" formatCode="0.0000"/>
  </numFmts>
  <fonts count="15">
    <font>
      <name val="Calibri"/>
      <family val="2"/>
      <color theme="1"/>
      <sz val="11"/>
      <scheme val="minor"/>
    </font>
    <font>
      <name val="Fira Sans Extra Condensed"/>
      <b val="1"/>
      <color rgb="00FFFFFF"/>
      <sz val="18"/>
    </font>
    <font>
      <name val="Fira Mono"/>
      <color rgb="00A9C3D8"/>
      <sz val="8"/>
    </font>
    <font>
      <name val="Fira Sans Extra Condensed"/>
      <b val="1"/>
      <color rgb="0000BFF0"/>
      <sz val="13"/>
    </font>
    <font>
      <name val="Fira Sans Extra Condensed"/>
      <b val="1"/>
      <color rgb="00000066"/>
      <sz val="13"/>
    </font>
    <font>
      <name val="Fira Sans"/>
      <color rgb="002D3748"/>
      <sz val="10"/>
    </font>
    <font>
      <name val="Fira Sans"/>
      <b val="1"/>
      <color rgb="00FFFFFF"/>
      <sz val="10"/>
    </font>
    <font>
      <name val="Fira Sans"/>
      <color rgb="000B0B3B"/>
      <sz val="10"/>
    </font>
    <font>
      <name val="Fira Sans"/>
      <b val="1"/>
      <color rgb="002D3748"/>
      <sz val="10"/>
    </font>
    <font>
      <name val="Fira Sans"/>
      <i val="1"/>
      <color rgb="005B6478"/>
      <sz val="9"/>
    </font>
    <font>
      <name val="Fira Mono"/>
      <color rgb="005B6478"/>
      <sz val="7"/>
    </font>
    <font>
      <name val="Fira Sans"/>
      <b val="1"/>
      <color rgb="000B0B3B"/>
      <sz val="10"/>
    </font>
    <font>
      <name val="Fira Sans"/>
      <color rgb="008890A8"/>
      <sz val="9"/>
    </font>
    <font>
      <name val="Fira Sans"/>
      <b val="1"/>
      <color rgb="00000066"/>
      <sz val="10"/>
    </font>
    <font>
      <name val="Fira Sans"/>
      <b val="1"/>
      <color rgb="00000066"/>
      <sz val="12"/>
    </font>
  </fonts>
  <fills count="9">
    <fill>
      <patternFill/>
    </fill>
    <fill>
      <patternFill patternType="gray125"/>
    </fill>
    <fill>
      <patternFill patternType="solid">
        <fgColor rgb="000B0B3B"/>
      </patternFill>
    </fill>
    <fill>
      <patternFill patternType="solid">
        <fgColor rgb="0000BFF0"/>
      </patternFill>
    </fill>
    <fill>
      <patternFill patternType="solid">
        <fgColor rgb="00FF2400"/>
      </patternFill>
    </fill>
    <fill>
      <patternFill patternType="solid">
        <fgColor rgb="001079A1"/>
      </patternFill>
    </fill>
    <fill>
      <patternFill patternType="solid">
        <fgColor rgb="00E8F4FB"/>
      </patternFill>
    </fill>
    <fill>
      <patternFill patternType="solid">
        <fgColor rgb="00F5F8FC"/>
      </patternFill>
    </fill>
    <fill>
      <patternFill patternType="solid">
        <fgColor rgb="00000066"/>
      </patternFill>
    </fill>
  </fills>
  <borders count="4">
    <border>
      <left/>
      <right/>
      <top/>
      <bottom/>
      <diagonal/>
    </border>
    <border>
      <bottom style="medium">
        <color rgb="0000BFF0"/>
      </bottom>
    </border>
    <border>
      <left style="thin">
        <color rgb="0000BFF0"/>
      </left>
      <right style="thin">
        <color rgb="0000BFF0"/>
      </right>
      <top style="thin">
        <color rgb="0000BFF0"/>
      </top>
      <bottom style="thin">
        <color rgb="0000BFF0"/>
      </bottom>
    </border>
    <border>
      <left style="thin">
        <color rgb="00D9E0EA"/>
      </left>
      <right style="thin">
        <color rgb="00D9E0EA"/>
      </right>
      <top style="thin">
        <color rgb="00D9E0EA"/>
      </top>
      <bottom style="thin">
        <color rgb="00D9E0EA"/>
      </bottom>
    </border>
  </borders>
  <cellStyleXfs count="1">
    <xf numFmtId="0" fontId="0" fillId="0" borderId="0"/>
  </cellStyleXfs>
  <cellXfs count="35">
    <xf numFmtId="0" fontId="0" fillId="0" borderId="0" pivotButton="0" quotePrefix="0" xfId="0"/>
    <xf numFmtId="0" fontId="0" fillId="2" borderId="0" pivotButton="0" quotePrefix="0" xfId="0"/>
    <xf numFmtId="0" fontId="1" fillId="2" borderId="0" applyAlignment="1" pivotButton="0" quotePrefix="0" xfId="0">
      <alignment vertical="center"/>
    </xf>
    <xf numFmtId="0" fontId="3" fillId="2" borderId="0" applyAlignment="1" pivotButton="0" quotePrefix="0" xfId="0">
      <alignment horizontal="right" vertical="center"/>
    </xf>
    <xf numFmtId="0" fontId="2" fillId="2" borderId="0" applyAlignment="1" pivotButton="0" quotePrefix="0" xfId="0">
      <alignment vertical="top"/>
    </xf>
    <xf numFmtId="0" fontId="0" fillId="3" borderId="0" pivotButton="0" quotePrefix="0" xfId="0"/>
    <xf numFmtId="0" fontId="0" fillId="4" borderId="0" pivotButton="0" quotePrefix="0" xfId="0"/>
    <xf numFmtId="0" fontId="4" fillId="0" borderId="1" pivotButton="0" quotePrefix="0" xfId="0"/>
    <xf numFmtId="0" fontId="0" fillId="0" borderId="1" pivotButton="0" quotePrefix="0" xfId="0"/>
    <xf numFmtId="0" fontId="5" fillId="0" borderId="0" applyAlignment="1" pivotButton="0" quotePrefix="0" xfId="0">
      <alignment vertical="top" wrapText="1"/>
    </xf>
    <xf numFmtId="0" fontId="6" fillId="5" borderId="0" applyAlignment="1" pivotButton="0" quotePrefix="0" xfId="0">
      <alignment horizontal="center" vertical="center"/>
    </xf>
    <xf numFmtId="0" fontId="5" fillId="0" borderId="0" applyAlignment="1" pivotButton="0" quotePrefix="0" xfId="0">
      <alignment vertical="center" wrapText="1"/>
    </xf>
    <xf numFmtId="0" fontId="7" fillId="6" borderId="2" applyAlignment="1" pivotButton="0" quotePrefix="0" xfId="0">
      <alignment horizontal="center" vertical="center"/>
    </xf>
    <xf numFmtId="0" fontId="5" fillId="0" borderId="0" applyAlignment="1" pivotButton="0" quotePrefix="0" xfId="0">
      <alignment vertical="center"/>
    </xf>
    <xf numFmtId="0" fontId="5" fillId="7" borderId="3" applyAlignment="1" pivotButton="0" quotePrefix="0" xfId="0">
      <alignment horizontal="center" vertical="center"/>
    </xf>
    <xf numFmtId="0" fontId="8" fillId="0" borderId="0" applyAlignment="1" pivotButton="0" quotePrefix="0" xfId="0">
      <alignment vertical="center"/>
    </xf>
    <xf numFmtId="0" fontId="9" fillId="0" borderId="0" applyAlignment="1" pivotButton="0" quotePrefix="0" xfId="0">
      <alignment vertical="top"/>
    </xf>
    <xf numFmtId="0" fontId="10" fillId="0" borderId="0" pivotButton="0" quotePrefix="0" xfId="0"/>
    <xf numFmtId="0" fontId="6" fillId="8" borderId="3" applyAlignment="1" pivotButton="0" quotePrefix="0" xfId="0">
      <alignment horizontal="center" vertical="center" wrapText="1"/>
    </xf>
    <xf numFmtId="0" fontId="11" fillId="6" borderId="2" applyAlignment="1" pivotButton="0" quotePrefix="0" xfId="0">
      <alignment horizontal="center" vertical="center"/>
    </xf>
    <xf numFmtId="0" fontId="9" fillId="0" borderId="0" applyAlignment="1" pivotButton="0" quotePrefix="0" xfId="0">
      <alignment vertical="top" wrapText="1"/>
    </xf>
    <xf numFmtId="0" fontId="12" fillId="0" borderId="0" applyAlignment="1" pivotButton="0" quotePrefix="0" xfId="0">
      <alignment horizontal="center"/>
    </xf>
    <xf numFmtId="164" fontId="7" fillId="6" borderId="2" applyAlignment="1" pivotButton="0" quotePrefix="0" xfId="0">
      <alignment horizontal="center" vertical="center"/>
    </xf>
    <xf numFmtId="165" fontId="7" fillId="6" borderId="2" applyAlignment="1" pivotButton="0" quotePrefix="0" xfId="0">
      <alignment horizontal="center" vertical="center"/>
    </xf>
    <xf numFmtId="1" fontId="7" fillId="6" borderId="2" applyAlignment="1" pivotButton="0" quotePrefix="0" xfId="0">
      <alignment horizontal="center" vertical="center"/>
    </xf>
    <xf numFmtId="1" fontId="5" fillId="7" borderId="3" applyAlignment="1" pivotButton="0" quotePrefix="0" xfId="0">
      <alignment horizontal="center" vertical="center"/>
    </xf>
    <xf numFmtId="2" fontId="14" fillId="7" borderId="3" applyAlignment="1" pivotButton="0" quotePrefix="0" xfId="0">
      <alignment horizontal="center" vertical="center"/>
    </xf>
    <xf numFmtId="2" fontId="5" fillId="7" borderId="3" applyAlignment="1" pivotButton="0" quotePrefix="0" xfId="0">
      <alignment horizontal="center" vertical="center"/>
    </xf>
    <xf numFmtId="166" fontId="5" fillId="7" borderId="3" applyAlignment="1" pivotButton="0" quotePrefix="0" xfId="0">
      <alignment horizontal="center" vertical="center"/>
    </xf>
    <xf numFmtId="0" fontId="13" fillId="7" borderId="3" applyAlignment="1" pivotButton="0" quotePrefix="0" xfId="0">
      <alignment horizontal="center" vertical="center"/>
    </xf>
    <xf numFmtId="2" fontId="7" fillId="6" borderId="2" applyAlignment="1" pivotButton="0" quotePrefix="0" xfId="0">
      <alignment horizontal="center" vertical="center"/>
    </xf>
    <xf numFmtId="1" fontId="13" fillId="7" borderId="3" applyAlignment="1" pivotButton="0" quotePrefix="0" xfId="0">
      <alignment horizontal="center" vertical="center"/>
    </xf>
    <xf numFmtId="167" fontId="5" fillId="7" borderId="3" applyAlignment="1" pivotButton="0" quotePrefix="0" xfId="0">
      <alignment horizontal="center" vertical="center"/>
    </xf>
    <xf numFmtId="168" fontId="14" fillId="7" borderId="3" applyAlignment="1" pivotButton="0" quotePrefix="0" xfId="0">
      <alignment horizontal="center" vertical="center"/>
    </xf>
    <xf numFmtId="165" fontId="13" fillId="7" borderId="3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styles" Target="styles.xml" Id="rId7"/><Relationship Type="http://schemas.openxmlformats.org/officeDocument/2006/relationships/theme" Target="theme/theme1.xml" Id="rId8"/></Relationships>
</file>

<file path=xl/charts/chart1.xml><?xml version="1.0" encoding="utf-8"?>
<chartSpace xmlns="http://schemas.openxmlformats.org/drawingml/2006/chart">
  <style val="13"/>
  <chart>
    <title>
      <tx>
        <rich>
          <a:bodyPr xmlns:a="http://schemas.openxmlformats.org/drawingml/2006/main"/>
          <a:p xmlns:a="http://schemas.openxmlformats.org/drawingml/2006/main">
            <a:pPr>
              <a:defRPr sz="1200" b="1">
                <a:solidFill>
                  <a:srgbClr val="000066"/>
                </a:solidFill>
                <a:latin typeface="Fira Sans Extra Condensed"/>
              </a:defRPr>
            </a:pPr>
            <a:r>
              <a:rPr sz="1200" b="1">
                <a:solidFill>
                  <a:srgbClr val="000066"/>
                </a:solidFill>
                <a:latin typeface="Fira Sans Extra Condensed"/>
              </a:rPr>
              <a:t>Box plot</a:t>
            </a:r>
          </a:p>
        </rich>
      </tx>
      <overlay val="0"/>
    </title>
    <plotArea>
      <scatterChart>
        <scatterStyle val="lineMarker"/>
        <ser>
          <idx val="0"/>
          <order val="0"/>
          <tx>
            <v>box</v>
          </tx>
          <spPr>
            <a:ln xmlns:a="http://schemas.openxmlformats.org/drawingml/2006/main" w="25000">
              <a:solidFill>
                <a:srgbClr val="000066"/>
              </a:solidFill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xVal>
            <numRef>
              <f>'Summary'!$P$8:$P$12</f>
            </numRef>
          </xVal>
          <yVal>
            <numRef>
              <f>'Summary'!$Q$8:$Q$12</f>
            </numRef>
          </yVal>
          <smooth val="0"/>
        </ser>
        <ser>
          <idx val="1"/>
          <order val="1"/>
          <tx>
            <v>med</v>
          </tx>
          <spPr>
            <a:ln xmlns:a="http://schemas.openxmlformats.org/drawingml/2006/main" w="32000">
              <a:solidFill>
                <a:srgbClr val="00BFF0"/>
              </a:solidFill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xVal>
            <numRef>
              <f>'Summary'!$P$14:$P$15</f>
            </numRef>
          </xVal>
          <yVal>
            <numRef>
              <f>'Summary'!$Q$14:$Q$15</f>
            </numRef>
          </yVal>
          <smooth val="0"/>
        </ser>
        <ser>
          <idx val="2"/>
          <order val="2"/>
          <tx>
            <v>wl</v>
          </tx>
          <spPr>
            <a:ln xmlns:a="http://schemas.openxmlformats.org/drawingml/2006/main" w="25000">
              <a:solidFill>
                <a:srgbClr val="000066"/>
              </a:solidFill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xVal>
            <numRef>
              <f>'Summary'!$P$19:$P$22</f>
            </numRef>
          </xVal>
          <yVal>
            <numRef>
              <f>'Summary'!$Q$19:$Q$22</f>
            </numRef>
          </yVal>
          <smooth val="0"/>
        </ser>
        <ser>
          <idx val="3"/>
          <order val="3"/>
          <tx>
            <v>wh</v>
          </tx>
          <spPr>
            <a:ln xmlns:a="http://schemas.openxmlformats.org/drawingml/2006/main" w="25000">
              <a:solidFill>
                <a:srgbClr val="000066"/>
              </a:solidFill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xVal>
            <numRef>
              <f>'Summary'!$P$24:$P$27</f>
            </numRef>
          </xVal>
          <yVal>
            <numRef>
              <f>'Summary'!$Q$24:$Q$27</f>
            </numRef>
          </yVal>
          <smooth val="0"/>
        </ser>
        <ser>
          <idx val="4"/>
          <order val="4"/>
          <tx>
            <v>mean</v>
          </tx>
          <spPr>
            <a:ln xmlns:a="http://schemas.openxmlformats.org/drawingml/2006/main">
              <a:noFill/>
              <a:prstDash val="solid"/>
            </a:ln>
          </spPr>
          <marker>
            <symbol val="diamond"/>
            <size val="9"/>
            <spPr>
              <a:solidFill xmlns:a="http://schemas.openxmlformats.org/drawingml/2006/main">
                <a:srgbClr val="1079A1"/>
              </a:solidFill>
              <a:ln xmlns:a="http://schemas.openxmlformats.org/drawingml/2006/main">
                <a:solidFill>
                  <a:srgbClr val="1079A1"/>
                </a:solidFill>
                <a:prstDash val="solid"/>
              </a:ln>
            </spPr>
          </marker>
          <xVal>
            <numRef>
              <f>'Summary'!$P$17</f>
            </numRef>
          </xVal>
          <yVal>
            <numRef>
              <f>'Summary'!$Q$17</f>
            </numRef>
          </yVal>
          <smooth val="0"/>
        </ser>
        <ser>
          <idx val="5"/>
          <order val="5"/>
          <tx>
            <v>out</v>
          </tx>
          <spPr>
            <a:ln xmlns:a="http://schemas.openxmlformats.org/drawingml/2006/main">
              <a:noFill/>
              <a:prstDash val="solid"/>
            </a:ln>
          </spPr>
          <marker>
            <symbol val="x"/>
            <size val="8"/>
            <spPr>
              <a:ln xmlns:a="http://schemas.openxmlformats.org/drawingml/2006/main">
                <a:solidFill>
                  <a:srgbClr val="FF2400"/>
                </a:solidFill>
                <a:prstDash val="solid"/>
              </a:ln>
            </spPr>
          </marker>
          <xVal>
            <numRef>
              <f>'Summary'!$P$29:$P$228</f>
            </numRef>
          </xVal>
          <yVal>
            <numRef>
              <f>'Summary'!$Q$29:$Q$228</f>
            </numRef>
          </yVal>
          <smooth val="0"/>
        </ser>
        <axId val="10"/>
        <axId val="20"/>
      </scatterChart>
      <valAx>
        <axId val="10"/>
        <scaling>
          <orientation val="minMax"/>
          <max val="2"/>
          <min val="0"/>
        </scaling>
        <delete val="1"/>
        <axPos val="l"/>
        <majorTickMark val="none"/>
        <minorTickMark val="none"/>
        <spPr>
          <a:ln xmlns:a="http://schemas.openxmlformats.org/drawingml/2006/main">
            <a:solidFill>
              <a:srgbClr val="D9E0EA"/>
            </a:solidFill>
            <a:prstDash val="solid"/>
          </a:ln>
        </spPr>
        <txPr>
          <a:bodyPr xmlns:a="http://schemas.openxmlformats.org/drawingml/2006/main"/>
          <a:p xmlns:a="http://schemas.openxmlformats.org/drawingml/2006/main">
            <a:pPr>
              <a:defRPr sz="900" b="0">
                <a:solidFill>
                  <a:srgbClr val="5B6478"/>
                </a:solidFill>
                <a:latin typeface="Fira Sans"/>
              </a:defRPr>
            </a:pPr>
            <a:r>
              <a:t/>
            </a:r>
            <a:endParaRPr sz="900" b="0">
              <a:solidFill>
                <a:srgbClr val="5B6478"/>
              </a:solidFill>
              <a:latin typeface="Fira Sans"/>
            </a:endParaRPr>
          </a:p>
        </txPr>
        <crossAx val="20"/>
      </valAx>
      <valAx>
        <axId val="20"/>
        <scaling>
          <orientation val="minMax"/>
        </scaling>
        <delete val="0"/>
        <axPos val="l"/>
        <majorGridlines>
          <spPr>
            <a:ln xmlns:a="http://schemas.openxmlformats.org/drawingml/2006/main">
              <a:solidFill>
                <a:srgbClr val="E6EBF2"/>
              </a:solidFill>
              <a:prstDash val="solid"/>
            </a:ln>
          </spPr>
        </majorGridlines>
        <majorTickMark val="none"/>
        <minorTickMark val="none"/>
        <spPr>
          <a:ln xmlns:a="http://schemas.openxmlformats.org/drawingml/2006/main">
            <a:solidFill>
              <a:srgbClr val="D9E0EA"/>
            </a:solidFill>
            <a:prstDash val="solid"/>
          </a:ln>
        </spPr>
        <txPr>
          <a:bodyPr xmlns:a="http://schemas.openxmlformats.org/drawingml/2006/main"/>
          <a:p xmlns:a="http://schemas.openxmlformats.org/drawingml/2006/main">
            <a:pPr>
              <a:defRPr sz="900" b="0">
                <a:solidFill>
                  <a:srgbClr val="5B6478"/>
                </a:solidFill>
                <a:latin typeface="Fira Sans"/>
              </a:defRPr>
            </a:pPr>
            <a:r>
              <a:t/>
            </a:r>
            <a:endParaRPr sz="900" b="0">
              <a:solidFill>
                <a:srgbClr val="5B6478"/>
              </a:solidFill>
              <a:latin typeface="Fira Sans"/>
            </a:endParaRPr>
          </a:p>
        </txPr>
        <crossAx val="10"/>
      </valAx>
    </plotArea>
    <plotVisOnly val="0"/>
    <dispBlanksAs val="gap"/>
  </chart>
  <spPr>
    <a:ln xmlns:a="http://schemas.openxmlformats.org/drawingml/2006/main">
      <a:noFill/>
      <a:prstDash val="solid"/>
    </a:ln>
  </spPr>
</chartSpace>
</file>

<file path=xl/charts/chart2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 sz="1200" b="1">
                <a:solidFill>
                  <a:srgbClr val="000066"/>
                </a:solidFill>
                <a:latin typeface="Fira Sans Extra Condensed"/>
              </a:defRPr>
            </a:pPr>
            <a:r>
              <a:rPr sz="1200" b="1">
                <a:solidFill>
                  <a:srgbClr val="000066"/>
                </a:solidFill>
                <a:latin typeface="Fira Sans Extra Condensed"/>
              </a:rPr>
              <a:t>Histogram</a:t>
            </a:r>
          </a:p>
        </rich>
      </tx>
      <overlay val="0"/>
    </title>
    <plotArea>
      <barChart>
        <barDir val="col"/>
        <grouping val="clustered"/>
        <ser>
          <idx val="0"/>
          <order val="0"/>
          <tx>
            <strRef>
              <f>'Histogram'!E11</f>
            </strRef>
          </tx>
          <spPr>
            <a:solidFill xmlns:a="http://schemas.openxmlformats.org/drawingml/2006/main">
              <a:srgbClr val="1079A1"/>
            </a:solidFill>
            <a:ln xmlns:a="http://schemas.openxmlformats.org/drawingml/2006/main">
              <a:solidFill>
                <a:srgbClr val="FFFFFF"/>
              </a:solidFill>
              <a:prstDash val="solid"/>
            </a:ln>
          </spPr>
          <cat>
            <numRef>
              <f>'Histogram'!$B$12:$B$19</f>
            </numRef>
          </cat>
          <val>
            <numRef>
              <f>'Histogram'!$E$12:$E$19</f>
            </numRef>
          </val>
        </ser>
        <gapWidth val="6"/>
        <axId val="10"/>
        <axId val="100"/>
      </barChart>
      <catAx>
        <axId val="10"/>
        <scaling>
          <orientation val="minMax"/>
        </scaling>
        <delete val="0"/>
        <axPos val="l"/>
        <majorTickMark val="none"/>
        <minorTickMark val="none"/>
        <spPr>
          <a:ln xmlns:a="http://schemas.openxmlformats.org/drawingml/2006/main">
            <a:solidFill>
              <a:srgbClr val="D9E0EA"/>
            </a:solidFill>
            <a:prstDash val="solid"/>
          </a:ln>
        </spPr>
        <txPr>
          <a:bodyPr xmlns:a="http://schemas.openxmlformats.org/drawingml/2006/main" rot="-2700000" vert="horz" anchor="ctr" anchorCtr="1"/>
          <a:p xmlns:a="http://schemas.openxmlformats.org/drawingml/2006/main">
            <a:pPr>
              <a:defRPr sz="900" b="0">
                <a:solidFill>
                  <a:srgbClr val="5B6478"/>
                </a:solidFill>
                <a:latin typeface="Fira Sans"/>
              </a:defRPr>
            </a:pPr>
            <a:r>
              <a:t/>
            </a:r>
            <a:endParaRPr sz="900" b="0">
              <a:solidFill>
                <a:srgbClr val="5B6478"/>
              </a:solidFill>
              <a:latin typeface="Fira Sans"/>
            </a:endParaRPr>
          </a:p>
        </txPr>
        <crossAx val="100"/>
        <lblOffset val="100"/>
        <tickLblSkip val="1"/>
        <noMultiLvlLbl val="1"/>
      </catAx>
      <valAx>
        <axId val="100"/>
        <scaling>
          <orientation val="minMax"/>
        </scaling>
        <delete val="0"/>
        <axPos val="l"/>
        <title>
          <tx>
            <rich>
              <a:bodyPr xmlns:a="http://schemas.openxmlformats.org/drawingml/2006/main"/>
              <a:p xmlns:a="http://schemas.openxmlformats.org/drawingml/2006/main">
                <a:pPr>
                  <a:defRPr sz="1000" b="1">
                    <a:solidFill>
                      <a:srgbClr val="2D3748"/>
                    </a:solidFill>
                    <a:latin typeface="Fira Sans"/>
                  </a:defRPr>
                </a:pPr>
                <a:r>
                  <a:rPr sz="1000" b="1">
                    <a:solidFill>
                      <a:srgbClr val="2D3748"/>
                    </a:solidFill>
                    <a:latin typeface="Fira Sans"/>
                  </a:rPr>
                  <a:t>Frequency</a:t>
                </a:r>
              </a:p>
            </rich>
          </tx>
          <overlay val="0"/>
        </title>
        <majorTickMark val="none"/>
        <minorTickMark val="none"/>
        <spPr>
          <a:ln xmlns:a="http://schemas.openxmlformats.org/drawingml/2006/main">
            <a:solidFill>
              <a:srgbClr val="D9E0EA"/>
            </a:solidFill>
            <a:prstDash val="solid"/>
          </a:ln>
        </spPr>
        <txPr>
          <a:bodyPr xmlns:a="http://schemas.openxmlformats.org/drawingml/2006/main"/>
          <a:p xmlns:a="http://schemas.openxmlformats.org/drawingml/2006/main">
            <a:pPr>
              <a:defRPr sz="900" b="0">
                <a:solidFill>
                  <a:srgbClr val="5B6478"/>
                </a:solidFill>
                <a:latin typeface="Fira Sans"/>
              </a:defRPr>
            </a:pPr>
            <a:r>
              <a:t/>
            </a:r>
            <a:endParaRPr sz="900" b="0">
              <a:solidFill>
                <a:srgbClr val="5B6478"/>
              </a:solidFill>
              <a:latin typeface="Fira Sans"/>
            </a:endParaRPr>
          </a:p>
        </txPr>
        <crossAx val="10"/>
      </valAx>
    </plotArea>
    <plotVisOnly val="1"/>
    <dispBlanksAs val="gap"/>
  </chart>
  <spPr>
    <a:ln xmlns:a="http://schemas.openxmlformats.org/drawingml/2006/main">
      <a:noFill/>
      <a:prstDash val="solid"/>
    </a:ln>
  </spPr>
</chartSpace>
</file>

<file path=xl/charts/chart3.xml><?xml version="1.0" encoding="utf-8"?>
<chartSpace xmlns="http://schemas.openxmlformats.org/drawingml/2006/chart">
  <style val="13"/>
  <chart>
    <plotArea>
      <scatterChart>
        <scatterStyle val="lineMarker"/>
        <ser>
          <idx val="0"/>
          <order val="0"/>
          <tx>
            <v>Value</v>
          </tx>
          <spPr>
            <a:ln xmlns:a="http://schemas.openxmlformats.org/drawingml/2006/main" w="19000">
              <a:solidFill>
                <a:srgbClr val="000066"/>
              </a:solidFill>
              <a:prstDash val="solid"/>
            </a:ln>
          </spPr>
          <marker>
            <symbol val="circle"/>
            <size val="6"/>
            <spPr>
              <a:solidFill xmlns:a="http://schemas.openxmlformats.org/drawingml/2006/main">
                <a:srgbClr val="000066"/>
              </a:solidFill>
              <a:ln xmlns:a="http://schemas.openxmlformats.org/drawingml/2006/main">
                <a:solidFill>
                  <a:srgbClr val="000066"/>
                </a:solidFill>
                <a:prstDash val="solid"/>
              </a:ln>
            </spPr>
          </marker>
          <xVal>
            <numRef>
              <f>'Run Chart'!$P$10:$P$209</f>
            </numRef>
          </xVal>
          <yVal>
            <numRef>
              <f>'Run Chart'!$Q$10:$Q$209</f>
            </numRef>
          </yVal>
          <smooth val="0"/>
        </ser>
        <ser>
          <idx val="1"/>
          <order val="1"/>
          <tx>
            <v>Median</v>
          </tx>
          <spPr>
            <a:ln xmlns:a="http://schemas.openxmlformats.org/drawingml/2006/main" w="22000">
              <a:solidFill>
                <a:srgbClr val="00BFF0"/>
              </a:solidFill>
              <a:prstDash val="dash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xVal>
            <numRef>
              <f>'Run Chart'!$P$10:$P$209</f>
            </numRef>
          </xVal>
          <yVal>
            <numRef>
              <f>'Run Chart'!$R$10:$R$209</f>
            </numRef>
          </yVal>
          <smooth val="0"/>
        </ser>
        <axId val="10"/>
        <axId val="20"/>
      </scatterChart>
      <valAx>
        <axId val="10"/>
        <scaling>
          <orientation val="minMax"/>
          <min val="1"/>
        </scaling>
        <delete val="0"/>
        <axPos val="l"/>
        <title>
          <tx>
            <rich>
              <a:bodyPr xmlns:a="http://schemas.openxmlformats.org/drawingml/2006/main"/>
              <a:p xmlns:a="http://schemas.openxmlformats.org/drawingml/2006/main">
                <a:pPr>
                  <a:defRPr sz="1000" b="1">
                    <a:solidFill>
                      <a:srgbClr val="2D3748"/>
                    </a:solidFill>
                    <a:latin typeface="Fira Sans"/>
                  </a:defRPr>
                </a:pPr>
                <a:r>
                  <a:rPr sz="1000" b="1">
                    <a:solidFill>
                      <a:srgbClr val="2D3748"/>
                    </a:solidFill>
                    <a:latin typeface="Fira Sans"/>
                  </a:rPr>
                  <a:t>Observation</a:t>
                </a:r>
              </a:p>
            </rich>
          </tx>
          <overlay val="0"/>
        </title>
        <majorTickMark val="none"/>
        <minorTickMark val="none"/>
        <spPr>
          <a:ln xmlns:a="http://schemas.openxmlformats.org/drawingml/2006/main">
            <a:solidFill>
              <a:srgbClr val="D9E0EA"/>
            </a:solidFill>
            <a:prstDash val="solid"/>
          </a:ln>
        </spPr>
        <txPr>
          <a:bodyPr xmlns:a="http://schemas.openxmlformats.org/drawingml/2006/main"/>
          <a:p xmlns:a="http://schemas.openxmlformats.org/drawingml/2006/main">
            <a:pPr>
              <a:defRPr sz="900" b="0">
                <a:solidFill>
                  <a:srgbClr val="5B6478"/>
                </a:solidFill>
                <a:latin typeface="Fira Sans"/>
              </a:defRPr>
            </a:pPr>
            <a:r>
              <a:t/>
            </a:r>
            <a:endParaRPr sz="900" b="0">
              <a:solidFill>
                <a:srgbClr val="5B6478"/>
              </a:solidFill>
              <a:latin typeface="Fira Sans"/>
            </a:endParaRPr>
          </a:p>
        </txPr>
        <crossAx val="20"/>
      </valAx>
      <valAx>
        <axId val="20"/>
        <scaling>
          <orientation val="minMax"/>
        </scaling>
        <delete val="0"/>
        <axPos val="l"/>
        <majorGridlines>
          <spPr>
            <a:ln xmlns:a="http://schemas.openxmlformats.org/drawingml/2006/main">
              <a:solidFill>
                <a:srgbClr val="E6EBF2"/>
              </a:solidFill>
              <a:prstDash val="solid"/>
            </a:ln>
          </spPr>
        </majorGridlines>
        <majorTickMark val="none"/>
        <minorTickMark val="none"/>
        <spPr>
          <a:ln xmlns:a="http://schemas.openxmlformats.org/drawingml/2006/main">
            <a:solidFill>
              <a:srgbClr val="D9E0EA"/>
            </a:solidFill>
            <a:prstDash val="solid"/>
          </a:ln>
        </spPr>
        <txPr>
          <a:bodyPr xmlns:a="http://schemas.openxmlformats.org/drawingml/2006/main"/>
          <a:p xmlns:a="http://schemas.openxmlformats.org/drawingml/2006/main">
            <a:pPr>
              <a:defRPr sz="900" b="0">
                <a:solidFill>
                  <a:srgbClr val="5B6478"/>
                </a:solidFill>
                <a:latin typeface="Fira Sans"/>
              </a:defRPr>
            </a:pPr>
            <a:r>
              <a:t/>
            </a:r>
            <a:endParaRPr sz="900" b="0">
              <a:solidFill>
                <a:srgbClr val="5B6478"/>
              </a:solidFill>
              <a:latin typeface="Fira Sans"/>
            </a:endParaRPr>
          </a:p>
        </txPr>
        <crossAx val="10"/>
      </valAx>
    </plotArea>
    <legend>
      <legendPos val="b"/>
      <overlay val="0"/>
      <txPr>
        <a:bodyPr xmlns:a="http://schemas.openxmlformats.org/drawingml/2006/main"/>
        <a:p xmlns:a="http://schemas.openxmlformats.org/drawingml/2006/main">
          <a:pPr>
            <a:defRPr sz="900" b="0">
              <a:solidFill>
                <a:srgbClr val="2D3748"/>
              </a:solidFill>
              <a:latin typeface="Fira Sans"/>
            </a:defRPr>
          </a:pPr>
          <a:r>
            <a:t/>
          </a:r>
          <a:endParaRPr sz="900" b="0">
            <a:solidFill>
              <a:srgbClr val="2D3748"/>
            </a:solidFill>
            <a:latin typeface="Fira Sans"/>
          </a:endParaRPr>
        </a:p>
      </txPr>
    </legend>
    <plotVisOnly val="0"/>
    <dispBlanksAs val="gap"/>
  </chart>
  <spPr>
    <a:ln xmlns:a="http://schemas.openxmlformats.org/drawingml/2006/main">
      <a:noFill/>
      <a:prstDash val="solid"/>
    </a:ln>
  </spPr>
</chartSpace>
</file>

<file path=xl/charts/chart4.xml><?xml version="1.0" encoding="utf-8"?>
<chartSpace xmlns="http://schemas.openxmlformats.org/drawingml/2006/chart">
  <style val="13"/>
  <chart>
    <plotArea>
      <scatterChart>
        <scatterStyle val="lineMarker"/>
        <ser>
          <idx val="0"/>
          <order val="0"/>
          <tx>
            <v>Observations</v>
          </tx>
          <spPr>
            <a:ln xmlns:a="http://schemas.openxmlformats.org/drawingml/2006/main">
              <a:noFill/>
              <a:prstDash val="solid"/>
            </a:ln>
          </spPr>
          <marker>
            <symbol val="circle"/>
            <size val="7"/>
            <spPr>
              <a:solidFill xmlns:a="http://schemas.openxmlformats.org/drawingml/2006/main">
                <a:srgbClr val="1079A1"/>
              </a:solidFill>
              <a:ln xmlns:a="http://schemas.openxmlformats.org/drawingml/2006/main">
                <a:solidFill>
                  <a:srgbClr val="000066"/>
                </a:solidFill>
                <a:prstDash val="solid"/>
              </a:ln>
            </spPr>
          </marker>
          <trendline>
            <trendlineType val="linear"/>
            <dispRSqr val="0"/>
            <dispEq val="0"/>
          </trendline>
          <xVal>
            <numRef>
              <f>'Scatter'!$P$10:$P$209</f>
            </numRef>
          </xVal>
          <yVal>
            <numRef>
              <f>'Scatter'!$Q$10:$Q$209</f>
            </numRef>
          </yVal>
          <smooth val="0"/>
        </ser>
        <axId val="10"/>
        <axId val="20"/>
      </scatterChart>
      <valAx>
        <axId val="10"/>
        <scaling>
          <orientation val="minMax"/>
        </scaling>
        <delete val="0"/>
        <axPos val="l"/>
        <title>
          <tx>
            <rich>
              <a:bodyPr xmlns:a="http://schemas.openxmlformats.org/drawingml/2006/main"/>
              <a:p xmlns:a="http://schemas.openxmlformats.org/drawingml/2006/main">
                <a:pPr>
                  <a:defRPr sz="1000" b="1">
                    <a:solidFill>
                      <a:srgbClr val="2D3748"/>
                    </a:solidFill>
                    <a:latin typeface="Fira Sans"/>
                  </a:defRPr>
                </a:pPr>
                <a:r>
                  <a:rPr sz="1000" b="1">
                    <a:solidFill>
                      <a:srgbClr val="2D3748"/>
                    </a:solidFill>
                    <a:latin typeface="Fira Sans"/>
                  </a:rPr>
                  <a:t>X variable</a:t>
                </a:r>
              </a:p>
            </rich>
          </tx>
          <overlay val="0"/>
        </title>
        <majorTickMark val="none"/>
        <minorTickMark val="none"/>
        <spPr>
          <a:ln xmlns:a="http://schemas.openxmlformats.org/drawingml/2006/main">
            <a:solidFill>
              <a:srgbClr val="D9E0EA"/>
            </a:solidFill>
            <a:prstDash val="solid"/>
          </a:ln>
        </spPr>
        <txPr>
          <a:bodyPr xmlns:a="http://schemas.openxmlformats.org/drawingml/2006/main"/>
          <a:p xmlns:a="http://schemas.openxmlformats.org/drawingml/2006/main">
            <a:pPr>
              <a:defRPr sz="900" b="0">
                <a:solidFill>
                  <a:srgbClr val="5B6478"/>
                </a:solidFill>
                <a:latin typeface="Fira Sans"/>
              </a:defRPr>
            </a:pPr>
            <a:r>
              <a:t/>
            </a:r>
            <a:endParaRPr sz="900" b="0">
              <a:solidFill>
                <a:srgbClr val="5B6478"/>
              </a:solidFill>
              <a:latin typeface="Fira Sans"/>
            </a:endParaRPr>
          </a:p>
        </txPr>
        <crossAx val="20"/>
      </valAx>
      <valAx>
        <axId val="20"/>
        <scaling>
          <orientation val="minMax"/>
        </scaling>
        <delete val="0"/>
        <axPos val="l"/>
        <majorGridlines>
          <spPr>
            <a:ln xmlns:a="http://schemas.openxmlformats.org/drawingml/2006/main">
              <a:solidFill>
                <a:srgbClr val="E6EBF2"/>
              </a:solidFill>
              <a:prstDash val="solid"/>
            </a:ln>
          </spPr>
        </majorGridlines>
        <title>
          <tx>
            <rich>
              <a:bodyPr xmlns:a="http://schemas.openxmlformats.org/drawingml/2006/main"/>
              <a:p xmlns:a="http://schemas.openxmlformats.org/drawingml/2006/main">
                <a:pPr>
                  <a:defRPr sz="1000" b="1">
                    <a:solidFill>
                      <a:srgbClr val="2D3748"/>
                    </a:solidFill>
                    <a:latin typeface="Fira Sans"/>
                  </a:defRPr>
                </a:pPr>
                <a:r>
                  <a:rPr sz="1000" b="1">
                    <a:solidFill>
                      <a:srgbClr val="2D3748"/>
                    </a:solidFill>
                    <a:latin typeface="Fira Sans"/>
                  </a:rPr>
                  <a:t>Y variable</a:t>
                </a:r>
              </a:p>
            </rich>
          </tx>
          <overlay val="0"/>
        </title>
        <majorTickMark val="none"/>
        <minorTickMark val="none"/>
        <spPr>
          <a:ln xmlns:a="http://schemas.openxmlformats.org/drawingml/2006/main">
            <a:solidFill>
              <a:srgbClr val="D9E0EA"/>
            </a:solidFill>
            <a:prstDash val="solid"/>
          </a:ln>
        </spPr>
        <txPr>
          <a:bodyPr xmlns:a="http://schemas.openxmlformats.org/drawingml/2006/main"/>
          <a:p xmlns:a="http://schemas.openxmlformats.org/drawingml/2006/main">
            <a:pPr>
              <a:defRPr sz="900" b="0">
                <a:solidFill>
                  <a:srgbClr val="5B6478"/>
                </a:solidFill>
                <a:latin typeface="Fira Sans"/>
              </a:defRPr>
            </a:pPr>
            <a:r>
              <a:t/>
            </a:r>
            <a:endParaRPr sz="900" b="0">
              <a:solidFill>
                <a:srgbClr val="5B6478"/>
              </a:solidFill>
              <a:latin typeface="Fira Sans"/>
            </a:endParaRPr>
          </a:p>
        </txPr>
        <crossAx val="10"/>
      </valAx>
    </plotArea>
    <plotVisOnly val="0"/>
    <dispBlanksAs val="gap"/>
  </chart>
  <spPr>
    <a:ln xmlns:a="http://schemas.openxmlformats.org/drawingml/2006/main">
      <a:noFill/>
      <a:prstDash val="solid"/>
    </a:ln>
  </spPr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/Relationships>
</file>

<file path=xl/drawings/_rels/drawing2.xml.rels><Relationships xmlns="http://schemas.openxmlformats.org/package/2006/relationships"><Relationship Type="http://schemas.openxmlformats.org/officeDocument/2006/relationships/chart" Target="/xl/charts/chart2.xml" Id="rId1"/></Relationships>
</file>

<file path=xl/drawings/_rels/drawing3.xml.rels><Relationships xmlns="http://schemas.openxmlformats.org/package/2006/relationships"><Relationship Type="http://schemas.openxmlformats.org/officeDocument/2006/relationships/chart" Target="/xl/charts/chart3.xml" Id="rId1"/></Relationships>
</file>

<file path=xl/drawings/_rels/drawing4.xml.rels><Relationships xmlns="http://schemas.openxmlformats.org/package/2006/relationships"><Relationship Type="http://schemas.openxmlformats.org/officeDocument/2006/relationships/chart" Target="/xl/charts/chart4.xml" Id="rId1"/></Relationships>
</file>

<file path=xl/drawings/drawing1.xml><?xml version="1.0" encoding="utf-8"?>
<wsDr xmlns="http://schemas.openxmlformats.org/drawingml/2006/spreadsheetDrawing">
  <oneCellAnchor>
    <from>
      <col>4</col>
      <colOff>0</colOff>
      <row>4</row>
      <rowOff>0</rowOff>
    </from>
    <ext cx="3960000" cy="360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drawings/drawing2.xml><?xml version="1.0" encoding="utf-8"?>
<wsDr xmlns="http://schemas.openxmlformats.org/drawingml/2006/spreadsheetDrawing">
  <oneCellAnchor>
    <from>
      <col>6</col>
      <colOff>0</colOff>
      <row>4</row>
      <rowOff>0</rowOff>
    </from>
    <ext cx="6120000" cy="342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drawings/drawing3.xml><?xml version="1.0" encoding="utf-8"?>
<wsDr xmlns="http://schemas.openxmlformats.org/drawingml/2006/spreadsheetDrawing">
  <oneCellAnchor>
    <from>
      <col>4</col>
      <colOff>0</colOff>
      <row>4</row>
      <rowOff>0</rowOff>
    </from>
    <ext cx="8640000" cy="324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drawings/drawing4.xml><?xml version="1.0" encoding="utf-8"?>
<wsDr xmlns="http://schemas.openxmlformats.org/drawingml/2006/spreadsheetDrawing">
  <oneCellAnchor>
    <from>
      <col>4</col>
      <colOff>0</colOff>
      <row>4</row>
      <rowOff>0</rowOff>
    </from>
    <ext cx="5760000" cy="342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_rels/sheet4.xml.rels><Relationships xmlns="http://schemas.openxmlformats.org/package/2006/relationships"><Relationship Type="http://schemas.openxmlformats.org/officeDocument/2006/relationships/drawing" Target="/xl/drawings/drawing2.xml" Id="rId1"/></Relationships>
</file>

<file path=xl/worksheets/_rels/sheet5.xml.rels><Relationships xmlns="http://schemas.openxmlformats.org/package/2006/relationships"><Relationship Type="http://schemas.openxmlformats.org/officeDocument/2006/relationships/drawing" Target="/xl/drawings/drawing3.xml" Id="rId1"/></Relationships>
</file>

<file path=xl/worksheets/_rels/sheet6.xml.rels><Relationships xmlns="http://schemas.openxmlformats.org/package/2006/relationships"><Relationship Type="http://schemas.openxmlformats.org/officeDocument/2006/relationships/drawing" Target="/xl/drawings/drawing4.xml" Id="rId1"/></Relationships>
</file>

<file path=xl/worksheets/sheet1.xml><?xml version="1.0" encoding="utf-8"?>
<worksheet xmlns="http://schemas.openxmlformats.org/spreadsheetml/2006/main">
  <sheetPr>
    <tabColor rgb="000B0B3B"/>
    <outlinePr summaryBelow="1" summaryRight="1"/>
    <pageSetUpPr fitToPage="1"/>
  </sheetPr>
  <dimension ref="A1:I25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.5" customWidth="1" min="1" max="1"/>
    <col width="4" customWidth="1" min="2" max="2"/>
    <col width="22" customWidth="1" min="3" max="3"/>
    <col width="18" customWidth="1" min="4" max="4"/>
    <col width="18" customWidth="1" min="5" max="5"/>
    <col width="18" customWidth="1" min="6" max="6"/>
    <col width="18" customWidth="1" min="7" max="7"/>
    <col width="18" customWidth="1" min="8" max="8"/>
    <col width="14" customWidth="1" min="9" max="9"/>
  </cols>
  <sheetData>
    <row r="1" ht="30" customHeight="1">
      <c r="A1" s="1" t="n"/>
      <c r="B1" s="2" t="inlineStr">
        <is>
          <t>Statistics Tool</t>
        </is>
      </c>
      <c r="C1" s="1" t="n"/>
      <c r="D1" s="1" t="n"/>
      <c r="E1" s="1" t="n"/>
      <c r="F1" s="1" t="n"/>
      <c r="G1" s="1" t="n"/>
      <c r="H1" s="1" t="n"/>
      <c r="I1" s="3" t="inlineStr">
        <is>
          <t>SKILLAGILITY</t>
        </is>
      </c>
    </row>
    <row r="2" ht="18" customHeight="1">
      <c r="A2" s="1" t="n"/>
      <c r="B2" s="4" t="inlineStr">
        <is>
          <t>OPERATIONAL EXCELLENCE TOOLKIT · LEAN SIX SIGMA GREEN BELT (B303)</t>
        </is>
      </c>
      <c r="C2" s="1" t="n"/>
      <c r="D2" s="1" t="n"/>
      <c r="E2" s="1" t="n"/>
      <c r="F2" s="1" t="n"/>
      <c r="G2" s="1" t="n"/>
      <c r="H2" s="1" t="n"/>
      <c r="I2" s="1" t="n"/>
    </row>
    <row r="3" ht="4" customHeight="1">
      <c r="A3" s="5" t="n"/>
      <c r="B3" s="5" t="n"/>
      <c r="C3" s="5" t="n"/>
      <c r="D3" s="5" t="n"/>
      <c r="E3" s="5" t="n"/>
      <c r="F3" s="5" t="n"/>
      <c r="G3" s="6" t="n"/>
      <c r="H3" s="6" t="n"/>
      <c r="I3" s="6" t="n"/>
    </row>
    <row r="5">
      <c r="B5" s="7" t="inlineStr">
        <is>
          <t>What this tool does</t>
        </is>
      </c>
      <c r="C5" s="8" t="n"/>
      <c r="D5" s="8" t="n"/>
      <c r="E5" s="8" t="n"/>
      <c r="F5" s="8" t="n"/>
      <c r="G5" s="8" t="n"/>
      <c r="H5" s="8" t="n"/>
      <c r="I5" s="8" t="n"/>
    </row>
    <row r="6" ht="30" customHeight="1">
      <c r="B6" s="9" t="inlineStr">
        <is>
          <t>Describes and visualizes your Measure data in one place: summary statistics with a box plot, a histogram, a run chart over time and a scatter plot with correlation and regression.</t>
        </is>
      </c>
    </row>
    <row r="8">
      <c r="B8" s="7" t="inlineStr">
        <is>
          <t>How to use it</t>
        </is>
      </c>
      <c r="C8" s="8" t="n"/>
      <c r="D8" s="8" t="n"/>
      <c r="E8" s="8" t="n"/>
      <c r="F8" s="8" t="n"/>
      <c r="G8" s="8" t="n"/>
      <c r="H8" s="8" t="n"/>
      <c r="I8" s="8" t="n"/>
    </row>
    <row r="9" ht="33" customHeight="1">
      <c r="B9" s="10" t="n">
        <v>1</v>
      </c>
      <c r="C9" s="11" t="inlineStr">
        <is>
          <t>Paste your data into the sheet 'Data': one column per variable, one row per observation (max. 200 rows, 3 variables). Overwrite the variable names in the light-blue header cells.</t>
        </is>
      </c>
    </row>
    <row r="10" ht="33" customHeight="1">
      <c r="B10" s="10" t="n">
        <v>2</v>
      </c>
      <c r="C10" s="11" t="inlineStr">
        <is>
          <t>On 'Summary', pick the variable you want to describe. Summary, box plot, histogram and run chart all follow this choice.</t>
        </is>
      </c>
    </row>
    <row r="11" ht="33" customHeight="1">
      <c r="B11" s="10" t="n">
        <v>3</v>
      </c>
      <c r="C11" s="11" t="inlineStr">
        <is>
          <t>Histogram: the bins are set automatically. Overwrite start value or bin width if you want rounder numbers.</t>
        </is>
      </c>
    </row>
    <row r="12" ht="33" customHeight="1">
      <c r="B12" s="10" t="n">
        <v>4</v>
      </c>
      <c r="C12" s="11" t="inlineStr">
        <is>
          <t>Run chart: look for trends, shifts and unusual points around the median line before you calculate anything else.</t>
        </is>
      </c>
    </row>
    <row r="13" ht="33" customHeight="1">
      <c r="B13" s="10" t="n">
        <v>5</v>
      </c>
      <c r="C13" s="11" t="inlineStr">
        <is>
          <t>Scatter: pick an X and a Y variable. Correlation is not causation — use it to prioritize, then verify the cause in Analyze.</t>
        </is>
      </c>
    </row>
    <row r="15">
      <c r="B15" s="7" t="inlineStr">
        <is>
          <t>Colour legend</t>
        </is>
      </c>
      <c r="C15" s="8" t="n"/>
      <c r="D15" s="8" t="n"/>
      <c r="E15" s="8" t="n"/>
      <c r="F15" s="8" t="n"/>
      <c r="G15" s="8" t="n"/>
      <c r="H15" s="8" t="n"/>
      <c r="I15" s="8" t="n"/>
    </row>
    <row r="16">
      <c r="C16" s="12" t="inlineStr">
        <is>
          <t>Input</t>
        </is>
      </c>
      <c r="D16" s="13" t="inlineStr">
        <is>
          <t>Enter or overwrite your own data here.</t>
        </is>
      </c>
    </row>
    <row r="17">
      <c r="C17" s="14" t="inlineStr">
        <is>
          <t>Calculated</t>
        </is>
      </c>
      <c r="D17" s="13" t="inlineStr">
        <is>
          <t>Formula — do not overwrite.</t>
        </is>
      </c>
    </row>
    <row r="19">
      <c r="B19" s="7" t="inlineStr">
        <is>
          <t>Example data</t>
        </is>
      </c>
      <c r="C19" s="8" t="n"/>
      <c r="D19" s="8" t="n"/>
      <c r="E19" s="8" t="n"/>
      <c r="F19" s="8" t="n"/>
      <c r="G19" s="8" t="n"/>
      <c r="H19" s="8" t="n"/>
      <c r="I19" s="8" t="n"/>
    </row>
    <row r="20" ht="30" customHeight="1">
      <c r="B20" s="9" t="inlineStr">
        <is>
          <t>Meridian Industrial Supply — 20 working days: daily OTIF (bouncing between 78% and 85%), orders per day and manual order-entry errors per day (r ≈ 0.82).</t>
        </is>
      </c>
    </row>
    <row r="22">
      <c r="B22" s="15" t="inlineStr">
        <is>
          <t>Course reference: Measure phase M6 · Analyze phase A3</t>
        </is>
      </c>
    </row>
    <row r="23">
      <c r="B23" s="16" t="inlineStr">
        <is>
          <t>No macros, no external links. Works in Excel 2010 or later, Excel for the web and LibreOffice.</t>
        </is>
      </c>
    </row>
    <row r="25">
      <c r="B25" s="17" t="inlineStr">
        <is>
          <t>© SKILLAGILITY · Operational Excellence training · skillagility.com</t>
        </is>
      </c>
    </row>
  </sheetData>
  <mergeCells count="7">
    <mergeCell ref="C13:I13"/>
    <mergeCell ref="C9:I9"/>
    <mergeCell ref="B6:I6"/>
    <mergeCell ref="B20:I20"/>
    <mergeCell ref="C12:I12"/>
    <mergeCell ref="C10:I10"/>
    <mergeCell ref="C11:I11"/>
  </mergeCells>
  <pageMargins left="0.75" right="0.75" top="1" bottom="1" header="0.5" footer="0.5"/>
  <pageSetup orientation="landscape" fitToHeight="1" fitToWidth="1"/>
  <headerFooter>
    <oddHeader/>
    <oddFooter>&amp;LSKILLAGILITY · skillagility.com&amp;R&amp;P /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tabColor rgb="0000BFF0"/>
    <outlinePr summaryBelow="1" summaryRight="1"/>
    <pageSetUpPr fitToPage="1"/>
  </sheetPr>
  <dimension ref="A1:G205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.5" customWidth="1" min="1" max="1"/>
    <col width="8" customWidth="1" min="2" max="2"/>
    <col width="14" customWidth="1" min="3" max="3"/>
    <col width="18" customWidth="1" min="4" max="4"/>
    <col width="18" customWidth="1" min="5" max="5"/>
    <col width="18" customWidth="1" min="6" max="6"/>
    <col width="30" customWidth="1" min="7" max="7"/>
  </cols>
  <sheetData>
    <row r="1" ht="30" customHeight="1">
      <c r="A1" s="1" t="n"/>
      <c r="B1" s="2" t="inlineStr">
        <is>
          <t>Data</t>
        </is>
      </c>
      <c r="C1" s="1" t="n"/>
      <c r="D1" s="1" t="n"/>
      <c r="E1" s="1" t="n"/>
      <c r="F1" s="1" t="n"/>
      <c r="G1" s="3" t="inlineStr">
        <is>
          <t>SKILLAGILITY</t>
        </is>
      </c>
    </row>
    <row r="2" ht="18" customHeight="1">
      <c r="A2" s="1" t="n"/>
      <c r="B2" s="4" t="inlineStr">
        <is>
          <t>ONE COLUMN PER VARIABLE, ONE ROW PER OBSERVATION</t>
        </is>
      </c>
      <c r="C2" s="1" t="n"/>
      <c r="D2" s="1" t="n"/>
      <c r="E2" s="1" t="n"/>
      <c r="F2" s="1" t="n"/>
      <c r="G2" s="1" t="n"/>
    </row>
    <row r="3" ht="4" customHeight="1">
      <c r="A3" s="5" t="n"/>
      <c r="B3" s="5" t="n"/>
      <c r="C3" s="5" t="n"/>
      <c r="D3" s="5" t="n"/>
      <c r="E3" s="5" t="n"/>
      <c r="F3" s="6" t="n"/>
      <c r="G3" s="6" t="n"/>
    </row>
    <row r="5">
      <c r="B5" s="18" t="inlineStr">
        <is>
          <t>#</t>
        </is>
      </c>
      <c r="C5" s="18" t="inlineStr">
        <is>
          <t>Date / label</t>
        </is>
      </c>
      <c r="D5" s="19" t="inlineStr">
        <is>
          <t>OTIF (%)</t>
        </is>
      </c>
      <c r="E5" s="19" t="inlineStr">
        <is>
          <t>Orders per day</t>
        </is>
      </c>
      <c r="F5" s="19" t="inlineStr">
        <is>
          <t>Entry errors</t>
        </is>
      </c>
      <c r="G5" s="20" t="inlineStr">
        <is>
          <t>Rename the variables in the light-blue header cells.</t>
        </is>
      </c>
    </row>
    <row r="6">
      <c r="B6" s="21" t="n">
        <v>1</v>
      </c>
      <c r="C6" s="22" t="n">
        <v>46083</v>
      </c>
      <c r="D6" s="23" t="n">
        <v>82</v>
      </c>
      <c r="E6" s="24" t="n">
        <v>337</v>
      </c>
      <c r="F6" s="24" t="n">
        <v>18</v>
      </c>
    </row>
    <row r="7">
      <c r="B7" s="21" t="n">
        <v>2</v>
      </c>
      <c r="C7" s="22" t="n">
        <v>46084</v>
      </c>
      <c r="D7" s="23" t="n">
        <v>79</v>
      </c>
      <c r="E7" s="24" t="n">
        <v>412</v>
      </c>
      <c r="F7" s="24" t="n">
        <v>26</v>
      </c>
    </row>
    <row r="8">
      <c r="B8" s="21" t="n">
        <v>3</v>
      </c>
      <c r="C8" s="22" t="n">
        <v>46085</v>
      </c>
      <c r="D8" s="23" t="n">
        <v>84</v>
      </c>
      <c r="E8" s="24" t="n">
        <v>389</v>
      </c>
      <c r="F8" s="24" t="n">
        <v>20</v>
      </c>
    </row>
    <row r="9">
      <c r="B9" s="21" t="n">
        <v>4</v>
      </c>
      <c r="C9" s="22" t="n">
        <v>46086</v>
      </c>
      <c r="D9" s="23" t="n">
        <v>80</v>
      </c>
      <c r="E9" s="24" t="n">
        <v>452</v>
      </c>
      <c r="F9" s="24" t="n">
        <v>23</v>
      </c>
    </row>
    <row r="10">
      <c r="B10" s="21" t="n">
        <v>5</v>
      </c>
      <c r="C10" s="22" t="n">
        <v>46087</v>
      </c>
      <c r="D10" s="23" t="n">
        <v>85</v>
      </c>
      <c r="E10" s="24" t="n">
        <v>341</v>
      </c>
      <c r="F10" s="24" t="n">
        <v>18</v>
      </c>
    </row>
    <row r="11">
      <c r="B11" s="21" t="n">
        <v>6</v>
      </c>
      <c r="C11" s="22" t="n">
        <v>46090</v>
      </c>
      <c r="D11" s="23" t="n">
        <v>78</v>
      </c>
      <c r="E11" s="24" t="n">
        <v>361</v>
      </c>
      <c r="F11" s="24" t="n">
        <v>20</v>
      </c>
    </row>
    <row r="12">
      <c r="B12" s="21" t="n">
        <v>7</v>
      </c>
      <c r="C12" s="22" t="n">
        <v>46091</v>
      </c>
      <c r="D12" s="23" t="n">
        <v>83</v>
      </c>
      <c r="E12" s="24" t="n">
        <v>362</v>
      </c>
      <c r="F12" s="24" t="n">
        <v>20</v>
      </c>
    </row>
    <row r="13">
      <c r="B13" s="21" t="n">
        <v>8</v>
      </c>
      <c r="C13" s="22" t="n">
        <v>46092</v>
      </c>
      <c r="D13" s="23" t="n">
        <v>81</v>
      </c>
      <c r="E13" s="24" t="n">
        <v>485</v>
      </c>
      <c r="F13" s="24" t="n">
        <v>26</v>
      </c>
    </row>
    <row r="14">
      <c r="B14" s="21" t="n">
        <v>9</v>
      </c>
      <c r="C14" s="22" t="n">
        <v>46093</v>
      </c>
      <c r="D14" s="23" t="n">
        <v>84</v>
      </c>
      <c r="E14" s="24" t="n">
        <v>477</v>
      </c>
      <c r="F14" s="24" t="n">
        <v>27</v>
      </c>
    </row>
    <row r="15">
      <c r="B15" s="21" t="n">
        <v>10</v>
      </c>
      <c r="C15" s="22" t="n">
        <v>46094</v>
      </c>
      <c r="D15" s="23" t="n">
        <v>79</v>
      </c>
      <c r="E15" s="24" t="n">
        <v>426</v>
      </c>
      <c r="F15" s="24" t="n">
        <v>20</v>
      </c>
    </row>
    <row r="16">
      <c r="B16" s="21" t="n">
        <v>11</v>
      </c>
      <c r="C16" s="22" t="n">
        <v>46097</v>
      </c>
      <c r="D16" s="23" t="n">
        <v>80</v>
      </c>
      <c r="E16" s="24" t="n">
        <v>339</v>
      </c>
      <c r="F16" s="24" t="n">
        <v>16</v>
      </c>
    </row>
    <row r="17">
      <c r="B17" s="21" t="n">
        <v>12</v>
      </c>
      <c r="C17" s="22" t="n">
        <v>46098</v>
      </c>
      <c r="D17" s="23" t="n">
        <v>83</v>
      </c>
      <c r="E17" s="24" t="n">
        <v>316</v>
      </c>
      <c r="F17" s="24" t="n">
        <v>8</v>
      </c>
    </row>
    <row r="18">
      <c r="B18" s="21" t="n">
        <v>13</v>
      </c>
      <c r="C18" s="22" t="n">
        <v>46099</v>
      </c>
      <c r="D18" s="23" t="n">
        <v>85</v>
      </c>
      <c r="E18" s="24" t="n">
        <v>389</v>
      </c>
      <c r="F18" s="24" t="n">
        <v>21</v>
      </c>
    </row>
    <row r="19">
      <c r="B19" s="21" t="n">
        <v>14</v>
      </c>
      <c r="C19" s="22" t="n">
        <v>46100</v>
      </c>
      <c r="D19" s="23" t="n">
        <v>78</v>
      </c>
      <c r="E19" s="24" t="n">
        <v>307</v>
      </c>
      <c r="F19" s="24" t="n">
        <v>9</v>
      </c>
    </row>
    <row r="20">
      <c r="B20" s="21" t="n">
        <v>15</v>
      </c>
      <c r="C20" s="22" t="n">
        <v>46101</v>
      </c>
      <c r="D20" s="23" t="n">
        <v>82</v>
      </c>
      <c r="E20" s="24" t="n">
        <v>351</v>
      </c>
      <c r="F20" s="24" t="n">
        <v>15</v>
      </c>
    </row>
    <row r="21">
      <c r="B21" s="21" t="n">
        <v>16</v>
      </c>
      <c r="C21" s="22" t="n">
        <v>46104</v>
      </c>
      <c r="D21" s="23" t="n">
        <v>81</v>
      </c>
      <c r="E21" s="24" t="n">
        <v>328</v>
      </c>
      <c r="F21" s="24" t="n">
        <v>17</v>
      </c>
    </row>
    <row r="22">
      <c r="B22" s="21" t="n">
        <v>17</v>
      </c>
      <c r="C22" s="22" t="n">
        <v>46105</v>
      </c>
      <c r="D22" s="23" t="n">
        <v>84</v>
      </c>
      <c r="E22" s="24" t="n">
        <v>485</v>
      </c>
      <c r="F22" s="24" t="n">
        <v>29</v>
      </c>
    </row>
    <row r="23">
      <c r="B23" s="21" t="n">
        <v>18</v>
      </c>
      <c r="C23" s="22" t="n">
        <v>46106</v>
      </c>
      <c r="D23" s="23" t="n">
        <v>80</v>
      </c>
      <c r="E23" s="24" t="n">
        <v>425</v>
      </c>
      <c r="F23" s="24" t="n">
        <v>27</v>
      </c>
    </row>
    <row r="24">
      <c r="B24" s="21" t="n">
        <v>19</v>
      </c>
      <c r="C24" s="22" t="n">
        <v>46107</v>
      </c>
      <c r="D24" s="23" t="n">
        <v>83</v>
      </c>
      <c r="E24" s="24" t="n">
        <v>483</v>
      </c>
      <c r="F24" s="24" t="n">
        <v>24</v>
      </c>
    </row>
    <row r="25">
      <c r="B25" s="21" t="n">
        <v>20</v>
      </c>
      <c r="C25" s="22" t="n">
        <v>46108</v>
      </c>
      <c r="D25" s="23" t="n">
        <v>79</v>
      </c>
      <c r="E25" s="24" t="n">
        <v>379</v>
      </c>
      <c r="F25" s="24" t="n">
        <v>27</v>
      </c>
    </row>
    <row r="26">
      <c r="B26" s="21" t="n">
        <v>21</v>
      </c>
      <c r="C26" s="22" t="n"/>
      <c r="D26" s="23" t="n"/>
      <c r="E26" s="24" t="n"/>
      <c r="F26" s="24" t="n"/>
    </row>
    <row r="27">
      <c r="B27" s="21" t="n">
        <v>22</v>
      </c>
      <c r="C27" s="22" t="n"/>
      <c r="D27" s="23" t="n"/>
      <c r="E27" s="24" t="n"/>
      <c r="F27" s="24" t="n"/>
    </row>
    <row r="28">
      <c r="B28" s="21" t="n">
        <v>23</v>
      </c>
      <c r="C28" s="22" t="n"/>
      <c r="D28" s="23" t="n"/>
      <c r="E28" s="24" t="n"/>
      <c r="F28" s="24" t="n"/>
    </row>
    <row r="29">
      <c r="B29" s="21" t="n">
        <v>24</v>
      </c>
      <c r="C29" s="22" t="n"/>
      <c r="D29" s="23" t="n"/>
      <c r="E29" s="24" t="n"/>
      <c r="F29" s="24" t="n"/>
    </row>
    <row r="30">
      <c r="B30" s="21" t="n">
        <v>25</v>
      </c>
      <c r="C30" s="22" t="n"/>
      <c r="D30" s="23" t="n"/>
      <c r="E30" s="24" t="n"/>
      <c r="F30" s="24" t="n"/>
    </row>
    <row r="31">
      <c r="B31" s="21" t="n">
        <v>26</v>
      </c>
      <c r="C31" s="22" t="n"/>
      <c r="D31" s="23" t="n"/>
      <c r="E31" s="24" t="n"/>
      <c r="F31" s="24" t="n"/>
    </row>
    <row r="32">
      <c r="B32" s="21" t="n">
        <v>27</v>
      </c>
      <c r="C32" s="22" t="n"/>
      <c r="D32" s="23" t="n"/>
      <c r="E32" s="24" t="n"/>
      <c r="F32" s="24" t="n"/>
    </row>
    <row r="33">
      <c r="B33" s="21" t="n">
        <v>28</v>
      </c>
      <c r="C33" s="22" t="n"/>
      <c r="D33" s="23" t="n"/>
      <c r="E33" s="24" t="n"/>
      <c r="F33" s="24" t="n"/>
    </row>
    <row r="34">
      <c r="B34" s="21" t="n">
        <v>29</v>
      </c>
      <c r="C34" s="22" t="n"/>
      <c r="D34" s="23" t="n"/>
      <c r="E34" s="24" t="n"/>
      <c r="F34" s="24" t="n"/>
    </row>
    <row r="35">
      <c r="B35" s="21" t="n">
        <v>30</v>
      </c>
      <c r="C35" s="22" t="n"/>
      <c r="D35" s="23" t="n"/>
      <c r="E35" s="24" t="n"/>
      <c r="F35" s="24" t="n"/>
    </row>
    <row r="36">
      <c r="B36" s="21" t="n">
        <v>31</v>
      </c>
      <c r="C36" s="22" t="n"/>
      <c r="D36" s="23" t="n"/>
      <c r="E36" s="24" t="n"/>
      <c r="F36" s="24" t="n"/>
    </row>
    <row r="37">
      <c r="B37" s="21" t="n">
        <v>32</v>
      </c>
      <c r="C37" s="22" t="n"/>
      <c r="D37" s="23" t="n"/>
      <c r="E37" s="24" t="n"/>
      <c r="F37" s="24" t="n"/>
    </row>
    <row r="38">
      <c r="B38" s="21" t="n">
        <v>33</v>
      </c>
      <c r="C38" s="22" t="n"/>
      <c r="D38" s="23" t="n"/>
      <c r="E38" s="24" t="n"/>
      <c r="F38" s="24" t="n"/>
    </row>
    <row r="39">
      <c r="B39" s="21" t="n">
        <v>34</v>
      </c>
      <c r="C39" s="22" t="n"/>
      <c r="D39" s="23" t="n"/>
      <c r="E39" s="24" t="n"/>
      <c r="F39" s="24" t="n"/>
    </row>
    <row r="40">
      <c r="B40" s="21" t="n">
        <v>35</v>
      </c>
      <c r="C40" s="22" t="n"/>
      <c r="D40" s="23" t="n"/>
      <c r="E40" s="24" t="n"/>
      <c r="F40" s="24" t="n"/>
    </row>
    <row r="41">
      <c r="B41" s="21" t="n">
        <v>36</v>
      </c>
      <c r="C41" s="22" t="n"/>
      <c r="D41" s="23" t="n"/>
      <c r="E41" s="24" t="n"/>
      <c r="F41" s="24" t="n"/>
    </row>
    <row r="42">
      <c r="B42" s="21" t="n">
        <v>37</v>
      </c>
      <c r="C42" s="22" t="n"/>
      <c r="D42" s="23" t="n"/>
      <c r="E42" s="24" t="n"/>
      <c r="F42" s="24" t="n"/>
    </row>
    <row r="43">
      <c r="B43" s="21" t="n">
        <v>38</v>
      </c>
      <c r="C43" s="22" t="n"/>
      <c r="D43" s="23" t="n"/>
      <c r="E43" s="24" t="n"/>
      <c r="F43" s="24" t="n"/>
    </row>
    <row r="44">
      <c r="B44" s="21" t="n">
        <v>39</v>
      </c>
      <c r="C44" s="22" t="n"/>
      <c r="D44" s="23" t="n"/>
      <c r="E44" s="24" t="n"/>
      <c r="F44" s="24" t="n"/>
    </row>
    <row r="45">
      <c r="B45" s="21" t="n">
        <v>40</v>
      </c>
      <c r="C45" s="22" t="n"/>
      <c r="D45" s="23" t="n"/>
      <c r="E45" s="24" t="n"/>
      <c r="F45" s="24" t="n"/>
    </row>
    <row r="46">
      <c r="B46" s="21" t="n">
        <v>41</v>
      </c>
      <c r="C46" s="22" t="n"/>
      <c r="D46" s="23" t="n"/>
      <c r="E46" s="24" t="n"/>
      <c r="F46" s="24" t="n"/>
    </row>
    <row r="47">
      <c r="B47" s="21" t="n">
        <v>42</v>
      </c>
      <c r="C47" s="22" t="n"/>
      <c r="D47" s="23" t="n"/>
      <c r="E47" s="24" t="n"/>
      <c r="F47" s="24" t="n"/>
    </row>
    <row r="48">
      <c r="B48" s="21" t="n">
        <v>43</v>
      </c>
      <c r="C48" s="22" t="n"/>
      <c r="D48" s="23" t="n"/>
      <c r="E48" s="24" t="n"/>
      <c r="F48" s="24" t="n"/>
    </row>
    <row r="49">
      <c r="B49" s="21" t="n">
        <v>44</v>
      </c>
      <c r="C49" s="22" t="n"/>
      <c r="D49" s="23" t="n"/>
      <c r="E49" s="24" t="n"/>
      <c r="F49" s="24" t="n"/>
    </row>
    <row r="50">
      <c r="B50" s="21" t="n">
        <v>45</v>
      </c>
      <c r="C50" s="22" t="n"/>
      <c r="D50" s="23" t="n"/>
      <c r="E50" s="24" t="n"/>
      <c r="F50" s="24" t="n"/>
    </row>
    <row r="51">
      <c r="B51" s="21" t="n">
        <v>46</v>
      </c>
      <c r="C51" s="22" t="n"/>
      <c r="D51" s="23" t="n"/>
      <c r="E51" s="24" t="n"/>
      <c r="F51" s="24" t="n"/>
    </row>
    <row r="52">
      <c r="B52" s="21" t="n">
        <v>47</v>
      </c>
      <c r="C52" s="22" t="n"/>
      <c r="D52" s="23" t="n"/>
      <c r="E52" s="24" t="n"/>
      <c r="F52" s="24" t="n"/>
    </row>
    <row r="53">
      <c r="B53" s="21" t="n">
        <v>48</v>
      </c>
      <c r="C53" s="22" t="n"/>
      <c r="D53" s="23" t="n"/>
      <c r="E53" s="24" t="n"/>
      <c r="F53" s="24" t="n"/>
    </row>
    <row r="54">
      <c r="B54" s="21" t="n">
        <v>49</v>
      </c>
      <c r="C54" s="22" t="n"/>
      <c r="D54" s="23" t="n"/>
      <c r="E54" s="24" t="n"/>
      <c r="F54" s="24" t="n"/>
    </row>
    <row r="55">
      <c r="B55" s="21" t="n">
        <v>50</v>
      </c>
      <c r="C55" s="22" t="n"/>
      <c r="D55" s="23" t="n"/>
      <c r="E55" s="24" t="n"/>
      <c r="F55" s="24" t="n"/>
    </row>
    <row r="56">
      <c r="B56" s="21" t="n">
        <v>51</v>
      </c>
      <c r="C56" s="22" t="n"/>
      <c r="D56" s="23" t="n"/>
      <c r="E56" s="24" t="n"/>
      <c r="F56" s="24" t="n"/>
    </row>
    <row r="57">
      <c r="B57" s="21" t="n">
        <v>52</v>
      </c>
      <c r="C57" s="22" t="n"/>
      <c r="D57" s="23" t="n"/>
      <c r="E57" s="24" t="n"/>
      <c r="F57" s="24" t="n"/>
    </row>
    <row r="58">
      <c r="B58" s="21" t="n">
        <v>53</v>
      </c>
      <c r="C58" s="22" t="n"/>
      <c r="D58" s="23" t="n"/>
      <c r="E58" s="24" t="n"/>
      <c r="F58" s="24" t="n"/>
    </row>
    <row r="59">
      <c r="B59" s="21" t="n">
        <v>54</v>
      </c>
      <c r="C59" s="22" t="n"/>
      <c r="D59" s="23" t="n"/>
      <c r="E59" s="24" t="n"/>
      <c r="F59" s="24" t="n"/>
    </row>
    <row r="60">
      <c r="B60" s="21" t="n">
        <v>55</v>
      </c>
      <c r="C60" s="22" t="n"/>
      <c r="D60" s="23" t="n"/>
      <c r="E60" s="24" t="n"/>
      <c r="F60" s="24" t="n"/>
    </row>
    <row r="61">
      <c r="B61" s="21" t="n">
        <v>56</v>
      </c>
      <c r="C61" s="22" t="n"/>
      <c r="D61" s="23" t="n"/>
      <c r="E61" s="24" t="n"/>
      <c r="F61" s="24" t="n"/>
    </row>
    <row r="62">
      <c r="B62" s="21" t="n">
        <v>57</v>
      </c>
      <c r="C62" s="22" t="n"/>
      <c r="D62" s="23" t="n"/>
      <c r="E62" s="24" t="n"/>
      <c r="F62" s="24" t="n"/>
    </row>
    <row r="63">
      <c r="B63" s="21" t="n">
        <v>58</v>
      </c>
      <c r="C63" s="22" t="n"/>
      <c r="D63" s="23" t="n"/>
      <c r="E63" s="24" t="n"/>
      <c r="F63" s="24" t="n"/>
    </row>
    <row r="64">
      <c r="B64" s="21" t="n">
        <v>59</v>
      </c>
      <c r="C64" s="22" t="n"/>
      <c r="D64" s="23" t="n"/>
      <c r="E64" s="24" t="n"/>
      <c r="F64" s="24" t="n"/>
    </row>
    <row r="65">
      <c r="B65" s="21" t="n">
        <v>60</v>
      </c>
      <c r="C65" s="22" t="n"/>
      <c r="D65" s="23" t="n"/>
      <c r="E65" s="24" t="n"/>
      <c r="F65" s="24" t="n"/>
    </row>
    <row r="66">
      <c r="B66" s="21" t="n">
        <v>61</v>
      </c>
      <c r="C66" s="22" t="n"/>
      <c r="D66" s="23" t="n"/>
      <c r="E66" s="24" t="n"/>
      <c r="F66" s="24" t="n"/>
    </row>
    <row r="67">
      <c r="B67" s="21" t="n">
        <v>62</v>
      </c>
      <c r="C67" s="22" t="n"/>
      <c r="D67" s="23" t="n"/>
      <c r="E67" s="24" t="n"/>
      <c r="F67" s="24" t="n"/>
    </row>
    <row r="68">
      <c r="B68" s="21" t="n">
        <v>63</v>
      </c>
      <c r="C68" s="22" t="n"/>
      <c r="D68" s="23" t="n"/>
      <c r="E68" s="24" t="n"/>
      <c r="F68" s="24" t="n"/>
    </row>
    <row r="69">
      <c r="B69" s="21" t="n">
        <v>64</v>
      </c>
      <c r="C69" s="22" t="n"/>
      <c r="D69" s="23" t="n"/>
      <c r="E69" s="24" t="n"/>
      <c r="F69" s="24" t="n"/>
    </row>
    <row r="70">
      <c r="B70" s="21" t="n">
        <v>65</v>
      </c>
      <c r="C70" s="22" t="n"/>
      <c r="D70" s="23" t="n"/>
      <c r="E70" s="24" t="n"/>
      <c r="F70" s="24" t="n"/>
    </row>
    <row r="71">
      <c r="B71" s="21" t="n">
        <v>66</v>
      </c>
      <c r="C71" s="22" t="n"/>
      <c r="D71" s="23" t="n"/>
      <c r="E71" s="24" t="n"/>
      <c r="F71" s="24" t="n"/>
    </row>
    <row r="72">
      <c r="B72" s="21" t="n">
        <v>67</v>
      </c>
      <c r="C72" s="22" t="n"/>
      <c r="D72" s="23" t="n"/>
      <c r="E72" s="24" t="n"/>
      <c r="F72" s="24" t="n"/>
    </row>
    <row r="73">
      <c r="B73" s="21" t="n">
        <v>68</v>
      </c>
      <c r="C73" s="22" t="n"/>
      <c r="D73" s="23" t="n"/>
      <c r="E73" s="24" t="n"/>
      <c r="F73" s="24" t="n"/>
    </row>
    <row r="74">
      <c r="B74" s="21" t="n">
        <v>69</v>
      </c>
      <c r="C74" s="22" t="n"/>
      <c r="D74" s="23" t="n"/>
      <c r="E74" s="24" t="n"/>
      <c r="F74" s="24" t="n"/>
    </row>
    <row r="75">
      <c r="B75" s="21" t="n">
        <v>70</v>
      </c>
      <c r="C75" s="22" t="n"/>
      <c r="D75" s="23" t="n"/>
      <c r="E75" s="24" t="n"/>
      <c r="F75" s="24" t="n"/>
    </row>
    <row r="76">
      <c r="B76" s="21" t="n">
        <v>71</v>
      </c>
      <c r="C76" s="22" t="n"/>
      <c r="D76" s="23" t="n"/>
      <c r="E76" s="24" t="n"/>
      <c r="F76" s="24" t="n"/>
    </row>
    <row r="77">
      <c r="B77" s="21" t="n">
        <v>72</v>
      </c>
      <c r="C77" s="22" t="n"/>
      <c r="D77" s="23" t="n"/>
      <c r="E77" s="24" t="n"/>
      <c r="F77" s="24" t="n"/>
    </row>
    <row r="78">
      <c r="B78" s="21" t="n">
        <v>73</v>
      </c>
      <c r="C78" s="22" t="n"/>
      <c r="D78" s="23" t="n"/>
      <c r="E78" s="24" t="n"/>
      <c r="F78" s="24" t="n"/>
    </row>
    <row r="79">
      <c r="B79" s="21" t="n">
        <v>74</v>
      </c>
      <c r="C79" s="22" t="n"/>
      <c r="D79" s="23" t="n"/>
      <c r="E79" s="24" t="n"/>
      <c r="F79" s="24" t="n"/>
    </row>
    <row r="80">
      <c r="B80" s="21" t="n">
        <v>75</v>
      </c>
      <c r="C80" s="22" t="n"/>
      <c r="D80" s="23" t="n"/>
      <c r="E80" s="24" t="n"/>
      <c r="F80" s="24" t="n"/>
    </row>
    <row r="81">
      <c r="B81" s="21" t="n">
        <v>76</v>
      </c>
      <c r="C81" s="22" t="n"/>
      <c r="D81" s="23" t="n"/>
      <c r="E81" s="24" t="n"/>
      <c r="F81" s="24" t="n"/>
    </row>
    <row r="82">
      <c r="B82" s="21" t="n">
        <v>77</v>
      </c>
      <c r="C82" s="22" t="n"/>
      <c r="D82" s="23" t="n"/>
      <c r="E82" s="24" t="n"/>
      <c r="F82" s="24" t="n"/>
    </row>
    <row r="83">
      <c r="B83" s="21" t="n">
        <v>78</v>
      </c>
      <c r="C83" s="22" t="n"/>
      <c r="D83" s="23" t="n"/>
      <c r="E83" s="24" t="n"/>
      <c r="F83" s="24" t="n"/>
    </row>
    <row r="84">
      <c r="B84" s="21" t="n">
        <v>79</v>
      </c>
      <c r="C84" s="22" t="n"/>
      <c r="D84" s="23" t="n"/>
      <c r="E84" s="24" t="n"/>
      <c r="F84" s="24" t="n"/>
    </row>
    <row r="85">
      <c r="B85" s="21" t="n">
        <v>80</v>
      </c>
      <c r="C85" s="22" t="n"/>
      <c r="D85" s="23" t="n"/>
      <c r="E85" s="24" t="n"/>
      <c r="F85" s="24" t="n"/>
    </row>
    <row r="86">
      <c r="B86" s="21" t="n">
        <v>81</v>
      </c>
      <c r="C86" s="22" t="n"/>
      <c r="D86" s="23" t="n"/>
      <c r="E86" s="24" t="n"/>
      <c r="F86" s="24" t="n"/>
    </row>
    <row r="87">
      <c r="B87" s="21" t="n">
        <v>82</v>
      </c>
      <c r="C87" s="22" t="n"/>
      <c r="D87" s="23" t="n"/>
      <c r="E87" s="24" t="n"/>
      <c r="F87" s="24" t="n"/>
    </row>
    <row r="88">
      <c r="B88" s="21" t="n">
        <v>83</v>
      </c>
      <c r="C88" s="22" t="n"/>
      <c r="D88" s="23" t="n"/>
      <c r="E88" s="24" t="n"/>
      <c r="F88" s="24" t="n"/>
    </row>
    <row r="89">
      <c r="B89" s="21" t="n">
        <v>84</v>
      </c>
      <c r="C89" s="22" t="n"/>
      <c r="D89" s="23" t="n"/>
      <c r="E89" s="24" t="n"/>
      <c r="F89" s="24" t="n"/>
    </row>
    <row r="90">
      <c r="B90" s="21" t="n">
        <v>85</v>
      </c>
      <c r="C90" s="22" t="n"/>
      <c r="D90" s="23" t="n"/>
      <c r="E90" s="24" t="n"/>
      <c r="F90" s="24" t="n"/>
    </row>
    <row r="91">
      <c r="B91" s="21" t="n">
        <v>86</v>
      </c>
      <c r="C91" s="22" t="n"/>
      <c r="D91" s="23" t="n"/>
      <c r="E91" s="24" t="n"/>
      <c r="F91" s="24" t="n"/>
    </row>
    <row r="92">
      <c r="B92" s="21" t="n">
        <v>87</v>
      </c>
      <c r="C92" s="22" t="n"/>
      <c r="D92" s="23" t="n"/>
      <c r="E92" s="24" t="n"/>
      <c r="F92" s="24" t="n"/>
    </row>
    <row r="93">
      <c r="B93" s="21" t="n">
        <v>88</v>
      </c>
      <c r="C93" s="22" t="n"/>
      <c r="D93" s="23" t="n"/>
      <c r="E93" s="24" t="n"/>
      <c r="F93" s="24" t="n"/>
    </row>
    <row r="94">
      <c r="B94" s="21" t="n">
        <v>89</v>
      </c>
      <c r="C94" s="22" t="n"/>
      <c r="D94" s="23" t="n"/>
      <c r="E94" s="24" t="n"/>
      <c r="F94" s="24" t="n"/>
    </row>
    <row r="95">
      <c r="B95" s="21" t="n">
        <v>90</v>
      </c>
      <c r="C95" s="22" t="n"/>
      <c r="D95" s="23" t="n"/>
      <c r="E95" s="24" t="n"/>
      <c r="F95" s="24" t="n"/>
    </row>
    <row r="96">
      <c r="B96" s="21" t="n">
        <v>91</v>
      </c>
      <c r="C96" s="22" t="n"/>
      <c r="D96" s="23" t="n"/>
      <c r="E96" s="24" t="n"/>
      <c r="F96" s="24" t="n"/>
    </row>
    <row r="97">
      <c r="B97" s="21" t="n">
        <v>92</v>
      </c>
      <c r="C97" s="22" t="n"/>
      <c r="D97" s="23" t="n"/>
      <c r="E97" s="24" t="n"/>
      <c r="F97" s="24" t="n"/>
    </row>
    <row r="98">
      <c r="B98" s="21" t="n">
        <v>93</v>
      </c>
      <c r="C98" s="22" t="n"/>
      <c r="D98" s="23" t="n"/>
      <c r="E98" s="24" t="n"/>
      <c r="F98" s="24" t="n"/>
    </row>
    <row r="99">
      <c r="B99" s="21" t="n">
        <v>94</v>
      </c>
      <c r="C99" s="22" t="n"/>
      <c r="D99" s="23" t="n"/>
      <c r="E99" s="24" t="n"/>
      <c r="F99" s="24" t="n"/>
    </row>
    <row r="100">
      <c r="B100" s="21" t="n">
        <v>95</v>
      </c>
      <c r="C100" s="22" t="n"/>
      <c r="D100" s="23" t="n"/>
      <c r="E100" s="24" t="n"/>
      <c r="F100" s="24" t="n"/>
    </row>
    <row r="101">
      <c r="B101" s="21" t="n">
        <v>96</v>
      </c>
      <c r="C101" s="22" t="n"/>
      <c r="D101" s="23" t="n"/>
      <c r="E101" s="24" t="n"/>
      <c r="F101" s="24" t="n"/>
    </row>
    <row r="102">
      <c r="B102" s="21" t="n">
        <v>97</v>
      </c>
      <c r="C102" s="22" t="n"/>
      <c r="D102" s="23" t="n"/>
      <c r="E102" s="24" t="n"/>
      <c r="F102" s="24" t="n"/>
    </row>
    <row r="103">
      <c r="B103" s="21" t="n">
        <v>98</v>
      </c>
      <c r="C103" s="22" t="n"/>
      <c r="D103" s="23" t="n"/>
      <c r="E103" s="24" t="n"/>
      <c r="F103" s="24" t="n"/>
    </row>
    <row r="104">
      <c r="B104" s="21" t="n">
        <v>99</v>
      </c>
      <c r="C104" s="22" t="n"/>
      <c r="D104" s="23" t="n"/>
      <c r="E104" s="24" t="n"/>
      <c r="F104" s="24" t="n"/>
    </row>
    <row r="105">
      <c r="B105" s="21" t="n">
        <v>100</v>
      </c>
      <c r="C105" s="22" t="n"/>
      <c r="D105" s="23" t="n"/>
      <c r="E105" s="24" t="n"/>
      <c r="F105" s="24" t="n"/>
    </row>
    <row r="106">
      <c r="B106" s="21" t="n">
        <v>101</v>
      </c>
      <c r="C106" s="22" t="n"/>
      <c r="D106" s="23" t="n"/>
      <c r="E106" s="24" t="n"/>
      <c r="F106" s="24" t="n"/>
    </row>
    <row r="107">
      <c r="B107" s="21" t="n">
        <v>102</v>
      </c>
      <c r="C107" s="22" t="n"/>
      <c r="D107" s="23" t="n"/>
      <c r="E107" s="24" t="n"/>
      <c r="F107" s="24" t="n"/>
    </row>
    <row r="108">
      <c r="B108" s="21" t="n">
        <v>103</v>
      </c>
      <c r="C108" s="22" t="n"/>
      <c r="D108" s="23" t="n"/>
      <c r="E108" s="24" t="n"/>
      <c r="F108" s="24" t="n"/>
    </row>
    <row r="109">
      <c r="B109" s="21" t="n">
        <v>104</v>
      </c>
      <c r="C109" s="22" t="n"/>
      <c r="D109" s="23" t="n"/>
      <c r="E109" s="24" t="n"/>
      <c r="F109" s="24" t="n"/>
    </row>
    <row r="110">
      <c r="B110" s="21" t="n">
        <v>105</v>
      </c>
      <c r="C110" s="22" t="n"/>
      <c r="D110" s="23" t="n"/>
      <c r="E110" s="24" t="n"/>
      <c r="F110" s="24" t="n"/>
    </row>
    <row r="111">
      <c r="B111" s="21" t="n">
        <v>106</v>
      </c>
      <c r="C111" s="22" t="n"/>
      <c r="D111" s="23" t="n"/>
      <c r="E111" s="24" t="n"/>
      <c r="F111" s="24" t="n"/>
    </row>
    <row r="112">
      <c r="B112" s="21" t="n">
        <v>107</v>
      </c>
      <c r="C112" s="22" t="n"/>
      <c r="D112" s="23" t="n"/>
      <c r="E112" s="24" t="n"/>
      <c r="F112" s="24" t="n"/>
    </row>
    <row r="113">
      <c r="B113" s="21" t="n">
        <v>108</v>
      </c>
      <c r="C113" s="22" t="n"/>
      <c r="D113" s="23" t="n"/>
      <c r="E113" s="24" t="n"/>
      <c r="F113" s="24" t="n"/>
    </row>
    <row r="114">
      <c r="B114" s="21" t="n">
        <v>109</v>
      </c>
      <c r="C114" s="22" t="n"/>
      <c r="D114" s="23" t="n"/>
      <c r="E114" s="24" t="n"/>
      <c r="F114" s="24" t="n"/>
    </row>
    <row r="115">
      <c r="B115" s="21" t="n">
        <v>110</v>
      </c>
      <c r="C115" s="22" t="n"/>
      <c r="D115" s="23" t="n"/>
      <c r="E115" s="24" t="n"/>
      <c r="F115" s="24" t="n"/>
    </row>
    <row r="116">
      <c r="B116" s="21" t="n">
        <v>111</v>
      </c>
      <c r="C116" s="22" t="n"/>
      <c r="D116" s="23" t="n"/>
      <c r="E116" s="24" t="n"/>
      <c r="F116" s="24" t="n"/>
    </row>
    <row r="117">
      <c r="B117" s="21" t="n">
        <v>112</v>
      </c>
      <c r="C117" s="22" t="n"/>
      <c r="D117" s="23" t="n"/>
      <c r="E117" s="24" t="n"/>
      <c r="F117" s="24" t="n"/>
    </row>
    <row r="118">
      <c r="B118" s="21" t="n">
        <v>113</v>
      </c>
      <c r="C118" s="22" t="n"/>
      <c r="D118" s="23" t="n"/>
      <c r="E118" s="24" t="n"/>
      <c r="F118" s="24" t="n"/>
    </row>
    <row r="119">
      <c r="B119" s="21" t="n">
        <v>114</v>
      </c>
      <c r="C119" s="22" t="n"/>
      <c r="D119" s="23" t="n"/>
      <c r="E119" s="24" t="n"/>
      <c r="F119" s="24" t="n"/>
    </row>
    <row r="120">
      <c r="B120" s="21" t="n">
        <v>115</v>
      </c>
      <c r="C120" s="22" t="n"/>
      <c r="D120" s="23" t="n"/>
      <c r="E120" s="24" t="n"/>
      <c r="F120" s="24" t="n"/>
    </row>
    <row r="121">
      <c r="B121" s="21" t="n">
        <v>116</v>
      </c>
      <c r="C121" s="22" t="n"/>
      <c r="D121" s="23" t="n"/>
      <c r="E121" s="24" t="n"/>
      <c r="F121" s="24" t="n"/>
    </row>
    <row r="122">
      <c r="B122" s="21" t="n">
        <v>117</v>
      </c>
      <c r="C122" s="22" t="n"/>
      <c r="D122" s="23" t="n"/>
      <c r="E122" s="24" t="n"/>
      <c r="F122" s="24" t="n"/>
    </row>
    <row r="123">
      <c r="B123" s="21" t="n">
        <v>118</v>
      </c>
      <c r="C123" s="22" t="n"/>
      <c r="D123" s="23" t="n"/>
      <c r="E123" s="24" t="n"/>
      <c r="F123" s="24" t="n"/>
    </row>
    <row r="124">
      <c r="B124" s="21" t="n">
        <v>119</v>
      </c>
      <c r="C124" s="22" t="n"/>
      <c r="D124" s="23" t="n"/>
      <c r="E124" s="24" t="n"/>
      <c r="F124" s="24" t="n"/>
    </row>
    <row r="125">
      <c r="B125" s="21" t="n">
        <v>120</v>
      </c>
      <c r="C125" s="22" t="n"/>
      <c r="D125" s="23" t="n"/>
      <c r="E125" s="24" t="n"/>
      <c r="F125" s="24" t="n"/>
    </row>
    <row r="126">
      <c r="B126" s="21" t="n">
        <v>121</v>
      </c>
      <c r="C126" s="22" t="n"/>
      <c r="D126" s="23" t="n"/>
      <c r="E126" s="24" t="n"/>
      <c r="F126" s="24" t="n"/>
    </row>
    <row r="127">
      <c r="B127" s="21" t="n">
        <v>122</v>
      </c>
      <c r="C127" s="22" t="n"/>
      <c r="D127" s="23" t="n"/>
      <c r="E127" s="24" t="n"/>
      <c r="F127" s="24" t="n"/>
    </row>
    <row r="128">
      <c r="B128" s="21" t="n">
        <v>123</v>
      </c>
      <c r="C128" s="22" t="n"/>
      <c r="D128" s="23" t="n"/>
      <c r="E128" s="24" t="n"/>
      <c r="F128" s="24" t="n"/>
    </row>
    <row r="129">
      <c r="B129" s="21" t="n">
        <v>124</v>
      </c>
      <c r="C129" s="22" t="n"/>
      <c r="D129" s="23" t="n"/>
      <c r="E129" s="24" t="n"/>
      <c r="F129" s="24" t="n"/>
    </row>
    <row r="130">
      <c r="B130" s="21" t="n">
        <v>125</v>
      </c>
      <c r="C130" s="22" t="n"/>
      <c r="D130" s="23" t="n"/>
      <c r="E130" s="24" t="n"/>
      <c r="F130" s="24" t="n"/>
    </row>
    <row r="131">
      <c r="B131" s="21" t="n">
        <v>126</v>
      </c>
      <c r="C131" s="22" t="n"/>
      <c r="D131" s="23" t="n"/>
      <c r="E131" s="24" t="n"/>
      <c r="F131" s="24" t="n"/>
    </row>
    <row r="132">
      <c r="B132" s="21" t="n">
        <v>127</v>
      </c>
      <c r="C132" s="22" t="n"/>
      <c r="D132" s="23" t="n"/>
      <c r="E132" s="24" t="n"/>
      <c r="F132" s="24" t="n"/>
    </row>
    <row r="133">
      <c r="B133" s="21" t="n">
        <v>128</v>
      </c>
      <c r="C133" s="22" t="n"/>
      <c r="D133" s="23" t="n"/>
      <c r="E133" s="24" t="n"/>
      <c r="F133" s="24" t="n"/>
    </row>
    <row r="134">
      <c r="B134" s="21" t="n">
        <v>129</v>
      </c>
      <c r="C134" s="22" t="n"/>
      <c r="D134" s="23" t="n"/>
      <c r="E134" s="24" t="n"/>
      <c r="F134" s="24" t="n"/>
    </row>
    <row r="135">
      <c r="B135" s="21" t="n">
        <v>130</v>
      </c>
      <c r="C135" s="22" t="n"/>
      <c r="D135" s="23" t="n"/>
      <c r="E135" s="24" t="n"/>
      <c r="F135" s="24" t="n"/>
    </row>
    <row r="136">
      <c r="B136" s="21" t="n">
        <v>131</v>
      </c>
      <c r="C136" s="22" t="n"/>
      <c r="D136" s="23" t="n"/>
      <c r="E136" s="24" t="n"/>
      <c r="F136" s="24" t="n"/>
    </row>
    <row r="137">
      <c r="B137" s="21" t="n">
        <v>132</v>
      </c>
      <c r="C137" s="22" t="n"/>
      <c r="D137" s="23" t="n"/>
      <c r="E137" s="24" t="n"/>
      <c r="F137" s="24" t="n"/>
    </row>
    <row r="138">
      <c r="B138" s="21" t="n">
        <v>133</v>
      </c>
      <c r="C138" s="22" t="n"/>
      <c r="D138" s="23" t="n"/>
      <c r="E138" s="24" t="n"/>
      <c r="F138" s="24" t="n"/>
    </row>
    <row r="139">
      <c r="B139" s="21" t="n">
        <v>134</v>
      </c>
      <c r="C139" s="22" t="n"/>
      <c r="D139" s="23" t="n"/>
      <c r="E139" s="24" t="n"/>
      <c r="F139" s="24" t="n"/>
    </row>
    <row r="140">
      <c r="B140" s="21" t="n">
        <v>135</v>
      </c>
      <c r="C140" s="22" t="n"/>
      <c r="D140" s="23" t="n"/>
      <c r="E140" s="24" t="n"/>
      <c r="F140" s="24" t="n"/>
    </row>
    <row r="141">
      <c r="B141" s="21" t="n">
        <v>136</v>
      </c>
      <c r="C141" s="22" t="n"/>
      <c r="D141" s="23" t="n"/>
      <c r="E141" s="24" t="n"/>
      <c r="F141" s="24" t="n"/>
    </row>
    <row r="142">
      <c r="B142" s="21" t="n">
        <v>137</v>
      </c>
      <c r="C142" s="22" t="n"/>
      <c r="D142" s="23" t="n"/>
      <c r="E142" s="24" t="n"/>
      <c r="F142" s="24" t="n"/>
    </row>
    <row r="143">
      <c r="B143" s="21" t="n">
        <v>138</v>
      </c>
      <c r="C143" s="22" t="n"/>
      <c r="D143" s="23" t="n"/>
      <c r="E143" s="24" t="n"/>
      <c r="F143" s="24" t="n"/>
    </row>
    <row r="144">
      <c r="B144" s="21" t="n">
        <v>139</v>
      </c>
      <c r="C144" s="22" t="n"/>
      <c r="D144" s="23" t="n"/>
      <c r="E144" s="24" t="n"/>
      <c r="F144" s="24" t="n"/>
    </row>
    <row r="145">
      <c r="B145" s="21" t="n">
        <v>140</v>
      </c>
      <c r="C145" s="22" t="n"/>
      <c r="D145" s="23" t="n"/>
      <c r="E145" s="24" t="n"/>
      <c r="F145" s="24" t="n"/>
    </row>
    <row r="146">
      <c r="B146" s="21" t="n">
        <v>141</v>
      </c>
      <c r="C146" s="22" t="n"/>
      <c r="D146" s="23" t="n"/>
      <c r="E146" s="24" t="n"/>
      <c r="F146" s="24" t="n"/>
    </row>
    <row r="147">
      <c r="B147" s="21" t="n">
        <v>142</v>
      </c>
      <c r="C147" s="22" t="n"/>
      <c r="D147" s="23" t="n"/>
      <c r="E147" s="24" t="n"/>
      <c r="F147" s="24" t="n"/>
    </row>
    <row r="148">
      <c r="B148" s="21" t="n">
        <v>143</v>
      </c>
      <c r="C148" s="22" t="n"/>
      <c r="D148" s="23" t="n"/>
      <c r="E148" s="24" t="n"/>
      <c r="F148" s="24" t="n"/>
    </row>
    <row r="149">
      <c r="B149" s="21" t="n">
        <v>144</v>
      </c>
      <c r="C149" s="22" t="n"/>
      <c r="D149" s="23" t="n"/>
      <c r="E149" s="24" t="n"/>
      <c r="F149" s="24" t="n"/>
    </row>
    <row r="150">
      <c r="B150" s="21" t="n">
        <v>145</v>
      </c>
      <c r="C150" s="22" t="n"/>
      <c r="D150" s="23" t="n"/>
      <c r="E150" s="24" t="n"/>
      <c r="F150" s="24" t="n"/>
    </row>
    <row r="151">
      <c r="B151" s="21" t="n">
        <v>146</v>
      </c>
      <c r="C151" s="22" t="n"/>
      <c r="D151" s="23" t="n"/>
      <c r="E151" s="24" t="n"/>
      <c r="F151" s="24" t="n"/>
    </row>
    <row r="152">
      <c r="B152" s="21" t="n">
        <v>147</v>
      </c>
      <c r="C152" s="22" t="n"/>
      <c r="D152" s="23" t="n"/>
      <c r="E152" s="24" t="n"/>
      <c r="F152" s="24" t="n"/>
    </row>
    <row r="153">
      <c r="B153" s="21" t="n">
        <v>148</v>
      </c>
      <c r="C153" s="22" t="n"/>
      <c r="D153" s="23" t="n"/>
      <c r="E153" s="24" t="n"/>
      <c r="F153" s="24" t="n"/>
    </row>
    <row r="154">
      <c r="B154" s="21" t="n">
        <v>149</v>
      </c>
      <c r="C154" s="22" t="n"/>
      <c r="D154" s="23" t="n"/>
      <c r="E154" s="24" t="n"/>
      <c r="F154" s="24" t="n"/>
    </row>
    <row r="155">
      <c r="B155" s="21" t="n">
        <v>150</v>
      </c>
      <c r="C155" s="22" t="n"/>
      <c r="D155" s="23" t="n"/>
      <c r="E155" s="24" t="n"/>
      <c r="F155" s="24" t="n"/>
    </row>
    <row r="156">
      <c r="B156" s="21" t="n">
        <v>151</v>
      </c>
      <c r="C156" s="22" t="n"/>
      <c r="D156" s="23" t="n"/>
      <c r="E156" s="24" t="n"/>
      <c r="F156" s="24" t="n"/>
    </row>
    <row r="157">
      <c r="B157" s="21" t="n">
        <v>152</v>
      </c>
      <c r="C157" s="22" t="n"/>
      <c r="D157" s="23" t="n"/>
      <c r="E157" s="24" t="n"/>
      <c r="F157" s="24" t="n"/>
    </row>
    <row r="158">
      <c r="B158" s="21" t="n">
        <v>153</v>
      </c>
      <c r="C158" s="22" t="n"/>
      <c r="D158" s="23" t="n"/>
      <c r="E158" s="24" t="n"/>
      <c r="F158" s="24" t="n"/>
    </row>
    <row r="159">
      <c r="B159" s="21" t="n">
        <v>154</v>
      </c>
      <c r="C159" s="22" t="n"/>
      <c r="D159" s="23" t="n"/>
      <c r="E159" s="24" t="n"/>
      <c r="F159" s="24" t="n"/>
    </row>
    <row r="160">
      <c r="B160" s="21" t="n">
        <v>155</v>
      </c>
      <c r="C160" s="22" t="n"/>
      <c r="D160" s="23" t="n"/>
      <c r="E160" s="24" t="n"/>
      <c r="F160" s="24" t="n"/>
    </row>
    <row r="161">
      <c r="B161" s="21" t="n">
        <v>156</v>
      </c>
      <c r="C161" s="22" t="n"/>
      <c r="D161" s="23" t="n"/>
      <c r="E161" s="24" t="n"/>
      <c r="F161" s="24" t="n"/>
    </row>
    <row r="162">
      <c r="B162" s="21" t="n">
        <v>157</v>
      </c>
      <c r="C162" s="22" t="n"/>
      <c r="D162" s="23" t="n"/>
      <c r="E162" s="24" t="n"/>
      <c r="F162" s="24" t="n"/>
    </row>
    <row r="163">
      <c r="B163" s="21" t="n">
        <v>158</v>
      </c>
      <c r="C163" s="22" t="n"/>
      <c r="D163" s="23" t="n"/>
      <c r="E163" s="24" t="n"/>
      <c r="F163" s="24" t="n"/>
    </row>
    <row r="164">
      <c r="B164" s="21" t="n">
        <v>159</v>
      </c>
      <c r="C164" s="22" t="n"/>
      <c r="D164" s="23" t="n"/>
      <c r="E164" s="24" t="n"/>
      <c r="F164" s="24" t="n"/>
    </row>
    <row r="165">
      <c r="B165" s="21" t="n">
        <v>160</v>
      </c>
      <c r="C165" s="22" t="n"/>
      <c r="D165" s="23" t="n"/>
      <c r="E165" s="24" t="n"/>
      <c r="F165" s="24" t="n"/>
    </row>
    <row r="166">
      <c r="B166" s="21" t="n">
        <v>161</v>
      </c>
      <c r="C166" s="22" t="n"/>
      <c r="D166" s="23" t="n"/>
      <c r="E166" s="24" t="n"/>
      <c r="F166" s="24" t="n"/>
    </row>
    <row r="167">
      <c r="B167" s="21" t="n">
        <v>162</v>
      </c>
      <c r="C167" s="22" t="n"/>
      <c r="D167" s="23" t="n"/>
      <c r="E167" s="24" t="n"/>
      <c r="F167" s="24" t="n"/>
    </row>
    <row r="168">
      <c r="B168" s="21" t="n">
        <v>163</v>
      </c>
      <c r="C168" s="22" t="n"/>
      <c r="D168" s="23" t="n"/>
      <c r="E168" s="24" t="n"/>
      <c r="F168" s="24" t="n"/>
    </row>
    <row r="169">
      <c r="B169" s="21" t="n">
        <v>164</v>
      </c>
      <c r="C169" s="22" t="n"/>
      <c r="D169" s="23" t="n"/>
      <c r="E169" s="24" t="n"/>
      <c r="F169" s="24" t="n"/>
    </row>
    <row r="170">
      <c r="B170" s="21" t="n">
        <v>165</v>
      </c>
      <c r="C170" s="22" t="n"/>
      <c r="D170" s="23" t="n"/>
      <c r="E170" s="24" t="n"/>
      <c r="F170" s="24" t="n"/>
    </row>
    <row r="171">
      <c r="B171" s="21" t="n">
        <v>166</v>
      </c>
      <c r="C171" s="22" t="n"/>
      <c r="D171" s="23" t="n"/>
      <c r="E171" s="24" t="n"/>
      <c r="F171" s="24" t="n"/>
    </row>
    <row r="172">
      <c r="B172" s="21" t="n">
        <v>167</v>
      </c>
      <c r="C172" s="22" t="n"/>
      <c r="D172" s="23" t="n"/>
      <c r="E172" s="24" t="n"/>
      <c r="F172" s="24" t="n"/>
    </row>
    <row r="173">
      <c r="B173" s="21" t="n">
        <v>168</v>
      </c>
      <c r="C173" s="22" t="n"/>
      <c r="D173" s="23" t="n"/>
      <c r="E173" s="24" t="n"/>
      <c r="F173" s="24" t="n"/>
    </row>
    <row r="174">
      <c r="B174" s="21" t="n">
        <v>169</v>
      </c>
      <c r="C174" s="22" t="n"/>
      <c r="D174" s="23" t="n"/>
      <c r="E174" s="24" t="n"/>
      <c r="F174" s="24" t="n"/>
    </row>
    <row r="175">
      <c r="B175" s="21" t="n">
        <v>170</v>
      </c>
      <c r="C175" s="22" t="n"/>
      <c r="D175" s="23" t="n"/>
      <c r="E175" s="24" t="n"/>
      <c r="F175" s="24" t="n"/>
    </row>
    <row r="176">
      <c r="B176" s="21" t="n">
        <v>171</v>
      </c>
      <c r="C176" s="22" t="n"/>
      <c r="D176" s="23" t="n"/>
      <c r="E176" s="24" t="n"/>
      <c r="F176" s="24" t="n"/>
    </row>
    <row r="177">
      <c r="B177" s="21" t="n">
        <v>172</v>
      </c>
      <c r="C177" s="22" t="n"/>
      <c r="D177" s="23" t="n"/>
      <c r="E177" s="24" t="n"/>
      <c r="F177" s="24" t="n"/>
    </row>
    <row r="178">
      <c r="B178" s="21" t="n">
        <v>173</v>
      </c>
      <c r="C178" s="22" t="n"/>
      <c r="D178" s="23" t="n"/>
      <c r="E178" s="24" t="n"/>
      <c r="F178" s="24" t="n"/>
    </row>
    <row r="179">
      <c r="B179" s="21" t="n">
        <v>174</v>
      </c>
      <c r="C179" s="22" t="n"/>
      <c r="D179" s="23" t="n"/>
      <c r="E179" s="24" t="n"/>
      <c r="F179" s="24" t="n"/>
    </row>
    <row r="180">
      <c r="B180" s="21" t="n">
        <v>175</v>
      </c>
      <c r="C180" s="22" t="n"/>
      <c r="D180" s="23" t="n"/>
      <c r="E180" s="24" t="n"/>
      <c r="F180" s="24" t="n"/>
    </row>
    <row r="181">
      <c r="B181" s="21" t="n">
        <v>176</v>
      </c>
      <c r="C181" s="22" t="n"/>
      <c r="D181" s="23" t="n"/>
      <c r="E181" s="24" t="n"/>
      <c r="F181" s="24" t="n"/>
    </row>
    <row r="182">
      <c r="B182" s="21" t="n">
        <v>177</v>
      </c>
      <c r="C182" s="22" t="n"/>
      <c r="D182" s="23" t="n"/>
      <c r="E182" s="24" t="n"/>
      <c r="F182" s="24" t="n"/>
    </row>
    <row r="183">
      <c r="B183" s="21" t="n">
        <v>178</v>
      </c>
      <c r="C183" s="22" t="n"/>
      <c r="D183" s="23" t="n"/>
      <c r="E183" s="24" t="n"/>
      <c r="F183" s="24" t="n"/>
    </row>
    <row r="184">
      <c r="B184" s="21" t="n">
        <v>179</v>
      </c>
      <c r="C184" s="22" t="n"/>
      <c r="D184" s="23" t="n"/>
      <c r="E184" s="24" t="n"/>
      <c r="F184" s="24" t="n"/>
    </row>
    <row r="185">
      <c r="B185" s="21" t="n">
        <v>180</v>
      </c>
      <c r="C185" s="22" t="n"/>
      <c r="D185" s="23" t="n"/>
      <c r="E185" s="24" t="n"/>
      <c r="F185" s="24" t="n"/>
    </row>
    <row r="186">
      <c r="B186" s="21" t="n">
        <v>181</v>
      </c>
      <c r="C186" s="22" t="n"/>
      <c r="D186" s="23" t="n"/>
      <c r="E186" s="24" t="n"/>
      <c r="F186" s="24" t="n"/>
    </row>
    <row r="187">
      <c r="B187" s="21" t="n">
        <v>182</v>
      </c>
      <c r="C187" s="22" t="n"/>
      <c r="D187" s="23" t="n"/>
      <c r="E187" s="24" t="n"/>
      <c r="F187" s="24" t="n"/>
    </row>
    <row r="188">
      <c r="B188" s="21" t="n">
        <v>183</v>
      </c>
      <c r="C188" s="22" t="n"/>
      <c r="D188" s="23" t="n"/>
      <c r="E188" s="24" t="n"/>
      <c r="F188" s="24" t="n"/>
    </row>
    <row r="189">
      <c r="B189" s="21" t="n">
        <v>184</v>
      </c>
      <c r="C189" s="22" t="n"/>
      <c r="D189" s="23" t="n"/>
      <c r="E189" s="24" t="n"/>
      <c r="F189" s="24" t="n"/>
    </row>
    <row r="190">
      <c r="B190" s="21" t="n">
        <v>185</v>
      </c>
      <c r="C190" s="22" t="n"/>
      <c r="D190" s="23" t="n"/>
      <c r="E190" s="24" t="n"/>
      <c r="F190" s="24" t="n"/>
    </row>
    <row r="191">
      <c r="B191" s="21" t="n">
        <v>186</v>
      </c>
      <c r="C191" s="22" t="n"/>
      <c r="D191" s="23" t="n"/>
      <c r="E191" s="24" t="n"/>
      <c r="F191" s="24" t="n"/>
    </row>
    <row r="192">
      <c r="B192" s="21" t="n">
        <v>187</v>
      </c>
      <c r="C192" s="22" t="n"/>
      <c r="D192" s="23" t="n"/>
      <c r="E192" s="24" t="n"/>
      <c r="F192" s="24" t="n"/>
    </row>
    <row r="193">
      <c r="B193" s="21" t="n">
        <v>188</v>
      </c>
      <c r="C193" s="22" t="n"/>
      <c r="D193" s="23" t="n"/>
      <c r="E193" s="24" t="n"/>
      <c r="F193" s="24" t="n"/>
    </row>
    <row r="194">
      <c r="B194" s="21" t="n">
        <v>189</v>
      </c>
      <c r="C194" s="22" t="n"/>
      <c r="D194" s="23" t="n"/>
      <c r="E194" s="24" t="n"/>
      <c r="F194" s="24" t="n"/>
    </row>
    <row r="195">
      <c r="B195" s="21" t="n">
        <v>190</v>
      </c>
      <c r="C195" s="22" t="n"/>
      <c r="D195" s="23" t="n"/>
      <c r="E195" s="24" t="n"/>
      <c r="F195" s="24" t="n"/>
    </row>
    <row r="196">
      <c r="B196" s="21" t="n">
        <v>191</v>
      </c>
      <c r="C196" s="22" t="n"/>
      <c r="D196" s="23" t="n"/>
      <c r="E196" s="24" t="n"/>
      <c r="F196" s="24" t="n"/>
    </row>
    <row r="197">
      <c r="B197" s="21" t="n">
        <v>192</v>
      </c>
      <c r="C197" s="22" t="n"/>
      <c r="D197" s="23" t="n"/>
      <c r="E197" s="24" t="n"/>
      <c r="F197" s="24" t="n"/>
    </row>
    <row r="198">
      <c r="B198" s="21" t="n">
        <v>193</v>
      </c>
      <c r="C198" s="22" t="n"/>
      <c r="D198" s="23" t="n"/>
      <c r="E198" s="24" t="n"/>
      <c r="F198" s="24" t="n"/>
    </row>
    <row r="199">
      <c r="B199" s="21" t="n">
        <v>194</v>
      </c>
      <c r="C199" s="22" t="n"/>
      <c r="D199" s="23" t="n"/>
      <c r="E199" s="24" t="n"/>
      <c r="F199" s="24" t="n"/>
    </row>
    <row r="200">
      <c r="B200" s="21" t="n">
        <v>195</v>
      </c>
      <c r="C200" s="22" t="n"/>
      <c r="D200" s="23" t="n"/>
      <c r="E200" s="24" t="n"/>
      <c r="F200" s="24" t="n"/>
    </row>
    <row r="201">
      <c r="B201" s="21" t="n">
        <v>196</v>
      </c>
      <c r="C201" s="22" t="n"/>
      <c r="D201" s="23" t="n"/>
      <c r="E201" s="24" t="n"/>
      <c r="F201" s="24" t="n"/>
    </row>
    <row r="202">
      <c r="B202" s="21" t="n">
        <v>197</v>
      </c>
      <c r="C202" s="22" t="n"/>
      <c r="D202" s="23" t="n"/>
      <c r="E202" s="24" t="n"/>
      <c r="F202" s="24" t="n"/>
    </row>
    <row r="203">
      <c r="B203" s="21" t="n">
        <v>198</v>
      </c>
      <c r="C203" s="22" t="n"/>
      <c r="D203" s="23" t="n"/>
      <c r="E203" s="24" t="n"/>
      <c r="F203" s="24" t="n"/>
    </row>
    <row r="204">
      <c r="B204" s="21" t="n">
        <v>199</v>
      </c>
      <c r="C204" s="22" t="n"/>
      <c r="D204" s="23" t="n"/>
      <c r="E204" s="24" t="n"/>
      <c r="F204" s="24" t="n"/>
    </row>
    <row r="205">
      <c r="B205" s="21" t="n">
        <v>200</v>
      </c>
      <c r="C205" s="22" t="n"/>
      <c r="D205" s="23" t="n"/>
      <c r="E205" s="24" t="n"/>
      <c r="F205" s="24" t="n"/>
    </row>
  </sheetData>
  <pageMargins left="0.75" right="0.75" top="1" bottom="1" header="0.5" footer="0.5"/>
  <pageSetup orientation="landscape" fitToHeight="1" fitToWidth="1"/>
  <headerFooter>
    <oddHeader/>
    <oddFooter>&amp;LSKILLAGILITY · skillagility.com&amp;R&amp;P /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tabColor rgb="0000BFF0"/>
    <outlinePr summaryBelow="1" summaryRight="1"/>
    <pageSetUpPr fitToPage="1"/>
  </sheetPr>
  <dimension ref="A1:Q228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.5" customWidth="1" min="1" max="1"/>
    <col width="34" customWidth="1" min="2" max="2"/>
    <col width="16" customWidth="1" min="3" max="3"/>
    <col width="3" customWidth="1" min="4" max="4"/>
    <col hidden="1" width="13" customWidth="1" min="16" max="16"/>
    <col hidden="1" width="13" customWidth="1" min="17" max="17"/>
    <col hidden="1" width="13" customWidth="1" min="18" max="18"/>
  </cols>
  <sheetData>
    <row r="1" ht="30" customHeight="1">
      <c r="A1" s="1" t="n"/>
      <c r="B1" s="2" t="inlineStr">
        <is>
          <t>Summary Statistics &amp; Box Plot</t>
        </is>
      </c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3" t="inlineStr">
        <is>
          <t>SKILLAGILITY</t>
        </is>
      </c>
    </row>
    <row r="2" ht="18" customHeight="1">
      <c r="A2" s="1" t="n"/>
      <c r="B2" s="4" t="inlineStr">
        <is>
          <t>PICK A VARIABLE — ALL DESCRIPTIVE SHEETS FOLLOW THIS CHOICE</t>
        </is>
      </c>
      <c r="C2" s="1" t="n"/>
      <c r="D2" s="1" t="n"/>
      <c r="E2" s="1" t="n"/>
      <c r="F2" s="1" t="n"/>
      <c r="G2" s="1" t="n"/>
      <c r="H2" s="1" t="n"/>
      <c r="I2" s="1" t="n"/>
      <c r="J2" s="1" t="n"/>
      <c r="K2" s="1" t="n"/>
      <c r="L2" s="1" t="n"/>
    </row>
    <row r="3" ht="4" customHeight="1">
      <c r="A3" s="5" t="n"/>
      <c r="B3" s="5" t="n"/>
      <c r="C3" s="5" t="n"/>
      <c r="D3" s="5" t="n"/>
      <c r="E3" s="5" t="n"/>
      <c r="F3" s="5" t="n"/>
      <c r="G3" s="5" t="n"/>
      <c r="H3" s="5" t="n"/>
      <c r="I3" s="5" t="n"/>
      <c r="J3" s="6" t="n"/>
      <c r="K3" s="6" t="n"/>
      <c r="L3" s="6" t="n"/>
    </row>
    <row r="5">
      <c r="B5" s="15" t="inlineStr">
        <is>
          <t>Variable</t>
        </is>
      </c>
      <c r="C5" s="12" t="inlineStr">
        <is>
          <t>OTIF (%)</t>
        </is>
      </c>
      <c r="P5">
        <f>MATCH(C5,'Data'!$D$5:$F$5,0)</f>
        <v/>
      </c>
    </row>
    <row r="6">
      <c r="B6" s="13" t="inlineStr">
        <is>
          <t>Count (n)</t>
        </is>
      </c>
      <c r="C6" s="25">
        <f>COUNT(INDEX('Data'!$D$6:$F$205,0,$P$5))</f>
        <v/>
      </c>
    </row>
    <row r="7">
      <c r="B7" s="15" t="inlineStr">
        <is>
          <t>Mean</t>
        </is>
      </c>
      <c r="C7" s="26">
        <f>AVERAGE(INDEX('Data'!$D$6:$F$205,0,$P$5))</f>
        <v/>
      </c>
    </row>
    <row r="8">
      <c r="B8" s="13" t="inlineStr">
        <is>
          <t>Median</t>
        </is>
      </c>
      <c r="C8" s="27">
        <f>MEDIAN(INDEX('Data'!$D$6:$F$205,0,$P$5))</f>
        <v/>
      </c>
      <c r="P8" t="n">
        <v>0.7</v>
      </c>
      <c r="Q8">
        <f>C12</f>
        <v/>
      </c>
    </row>
    <row r="9">
      <c r="B9" s="15" t="inlineStr">
        <is>
          <t>Standard deviation (s)</t>
        </is>
      </c>
      <c r="C9" s="26">
        <f>_xlfn.STDEV.S(INDEX('Data'!$D$6:$F$205,0,$P$5))</f>
        <v/>
      </c>
      <c r="P9" t="n">
        <v>1.3</v>
      </c>
      <c r="Q9">
        <f>C12</f>
        <v/>
      </c>
    </row>
    <row r="10">
      <c r="B10" s="13" t="inlineStr">
        <is>
          <t>Variance (s²)</t>
        </is>
      </c>
      <c r="C10" s="27">
        <f>_xlfn.VAR.S(INDEX('Data'!$D$6:$F$205,0,$P$5))</f>
        <v/>
      </c>
      <c r="P10" t="n">
        <v>1.3</v>
      </c>
      <c r="Q10">
        <f>C13</f>
        <v/>
      </c>
    </row>
    <row r="11">
      <c r="B11" s="13" t="inlineStr">
        <is>
          <t>Minimum</t>
        </is>
      </c>
      <c r="C11" s="27">
        <f>MIN(INDEX('Data'!$D$6:$F$205,0,$P$5))</f>
        <v/>
      </c>
      <c r="P11" t="n">
        <v>0.7</v>
      </c>
      <c r="Q11">
        <f>C13</f>
        <v/>
      </c>
    </row>
    <row r="12">
      <c r="B12" s="13" t="inlineStr">
        <is>
          <t>1st quartile (Q1)</t>
        </is>
      </c>
      <c r="C12" s="27">
        <f>_xlfn.QUARTILE.INC(INDEX('Data'!$D$6:$F$205,0,$P$5),1)</f>
        <v/>
      </c>
      <c r="P12" t="n">
        <v>0.7</v>
      </c>
      <c r="Q12">
        <f>C12</f>
        <v/>
      </c>
    </row>
    <row r="13">
      <c r="B13" s="13" t="inlineStr">
        <is>
          <t>3rd quartile (Q3)</t>
        </is>
      </c>
      <c r="C13" s="27">
        <f>_xlfn.QUARTILE.INC(INDEX('Data'!$D$6:$F$205,0,$P$5),3)</f>
        <v/>
      </c>
    </row>
    <row r="14">
      <c r="B14" s="13" t="inlineStr">
        <is>
          <t>Maximum</t>
        </is>
      </c>
      <c r="C14" s="27">
        <f>MAX(INDEX('Data'!$D$6:$F$205,0,$P$5))</f>
        <v/>
      </c>
      <c r="P14" t="n">
        <v>0.7</v>
      </c>
      <c r="Q14">
        <f>C8</f>
        <v/>
      </c>
    </row>
    <row r="15">
      <c r="B15" s="13" t="inlineStr">
        <is>
          <t>Range</t>
        </is>
      </c>
      <c r="C15" s="27">
        <f>C14-C11</f>
        <v/>
      </c>
      <c r="P15" t="n">
        <v>1.3</v>
      </c>
      <c r="Q15">
        <f>C8</f>
        <v/>
      </c>
    </row>
    <row r="16">
      <c r="B16" s="13" t="inlineStr">
        <is>
          <t>Interquartile range (IQR)</t>
        </is>
      </c>
      <c r="C16" s="27">
        <f>C13-C12</f>
        <v/>
      </c>
    </row>
    <row r="17">
      <c r="B17" s="13" t="inlineStr">
        <is>
          <t>Coefficient of variation</t>
        </is>
      </c>
      <c r="C17" s="28">
        <f>IFERROR(C9/C7,"")</f>
        <v/>
      </c>
      <c r="P17" t="n">
        <v>1</v>
      </c>
      <c r="Q17">
        <f>C7</f>
        <v/>
      </c>
    </row>
    <row r="18">
      <c r="B18" s="13" t="inlineStr">
        <is>
          <t>Skewness</t>
        </is>
      </c>
      <c r="C18" s="27">
        <f>IFERROR(SKEW(INDEX('Data'!$D$6:$F$205,0,$P$5)),"")</f>
        <v/>
      </c>
    </row>
    <row r="19">
      <c r="B19" s="13" t="inlineStr">
        <is>
          <t>Kurtosis</t>
        </is>
      </c>
      <c r="C19" s="27">
        <f>IFERROR(KURT(INDEX('Data'!$D$6:$F$205,0,$P$5)),"")</f>
        <v/>
      </c>
      <c r="P19" t="n">
        <v>1</v>
      </c>
      <c r="Q19">
        <f>C12</f>
        <v/>
      </c>
    </row>
    <row r="20">
      <c r="B20" s="13" t="inlineStr">
        <is>
          <t>95% confidence interval — lower</t>
        </is>
      </c>
      <c r="C20" s="27">
        <f>IFERROR(C7-_xlfn.CONFIDENCE.T(0.05,C9,C6),"")</f>
        <v/>
      </c>
      <c r="P20" t="n">
        <v>1</v>
      </c>
      <c r="Q20">
        <f>SMALL(INDEX('Data'!$D$6:$F$205,0,$P$5),COUNTIF(INDEX('Data'!$D$6:$F$205,0,$P$5),"&lt;"&amp;(C12-1.5*C16))+1)</f>
        <v/>
      </c>
    </row>
    <row r="21">
      <c r="B21" s="13" t="inlineStr">
        <is>
          <t>95% confidence interval — upper</t>
        </is>
      </c>
      <c r="C21" s="27">
        <f>IFERROR(C7+_xlfn.CONFIDENCE.T(0.05,C9,C6),"")</f>
        <v/>
      </c>
      <c r="P21" t="n">
        <v>0.85</v>
      </c>
      <c r="Q21">
        <f>SMALL(INDEX('Data'!$D$6:$F$205,0,$P$5),COUNTIF(INDEX('Data'!$D$6:$F$205,0,$P$5),"&lt;"&amp;(C12-1.5*C16))+1)</f>
        <v/>
      </c>
    </row>
    <row r="22">
      <c r="B22" s="13" t="inlineStr">
        <is>
          <t>Outliers (beyond 1.5 × IQR)</t>
        </is>
      </c>
      <c r="C22" s="25">
        <f>COUNTIF(INDEX('Data'!$D$6:$F$205,0,$P$5),"&lt;"&amp;(C12-1.5*C16))+COUNTIF(INDEX('Data'!$D$6:$F$205,0,$P$5),"&gt;"&amp;(C13+1.5*C16))</f>
        <v/>
      </c>
      <c r="P22" t="n">
        <v>1.15</v>
      </c>
      <c r="Q22">
        <f>SMALL(INDEX('Data'!$D$6:$F$205,0,$P$5),COUNTIF(INDEX('Data'!$D$6:$F$205,0,$P$5),"&lt;"&amp;(C12-1.5*C16))+1)</f>
        <v/>
      </c>
    </row>
    <row r="24" ht="38" customHeight="1">
      <c r="B24" s="20" t="inlineStr">
        <is>
          <t>Skewness near 0 = symmetric. Values beyond ±1 point to skewed data — then the median describes the centre better than the mean.</t>
        </is>
      </c>
      <c r="P24" t="n">
        <v>1</v>
      </c>
      <c r="Q24">
        <f>C13</f>
        <v/>
      </c>
    </row>
    <row r="25">
      <c r="P25" t="n">
        <v>1</v>
      </c>
      <c r="Q25">
        <f>LARGE(INDEX('Data'!$D$6:$F$205,0,$P$5),COUNTIF(INDEX('Data'!$D$6:$F$205,0,$P$5),"&gt;"&amp;(C13+1.5*C16))+1)</f>
        <v/>
      </c>
    </row>
    <row r="26" ht="38" customHeight="1">
      <c r="B26" s="20" t="inlineStr">
        <is>
          <t>Box plot: box = Q1 to Q3 (middle 50%), cyan line = median, diamond = mean, whiskers = last values within 1.5 × IQR, red x = outliers.</t>
        </is>
      </c>
      <c r="P26" t="n">
        <v>0.85</v>
      </c>
      <c r="Q26">
        <f>LARGE(INDEX('Data'!$D$6:$F$205,0,$P$5),COUNTIF(INDEX('Data'!$D$6:$F$205,0,$P$5),"&gt;"&amp;(C13+1.5*C16))+1)</f>
        <v/>
      </c>
    </row>
    <row r="27">
      <c r="P27" t="n">
        <v>1.15</v>
      </c>
      <c r="Q27">
        <f>LARGE(INDEX('Data'!$D$6:$F$205,0,$P$5),COUNTIF(INDEX('Data'!$D$6:$F$205,0,$P$5),"&gt;"&amp;(C13+1.5*C16))+1)</f>
        <v/>
      </c>
    </row>
    <row r="28">
      <c r="B28" s="17" t="inlineStr">
        <is>
          <t>© SKILLAGILITY · Operational Excellence training · skillagility.com</t>
        </is>
      </c>
    </row>
    <row r="29">
      <c r="P29">
        <f>IF(ISNA(Q29),NA(),1)</f>
        <v/>
      </c>
      <c r="Q29">
        <f>IF(INDEX('Data'!$D$6:$F$205,1,$P$5)="",NA(),IF(OR(INDEX('Data'!$D$6:$F$205,1,$P$5)&lt;C12-1.5*C16,INDEX('Data'!$D$6:$F$205,1,$P$5)&gt;C13+1.5*C16),INDEX('Data'!$D$6:$F$205,1,$P$5),NA()))</f>
        <v/>
      </c>
    </row>
    <row r="30">
      <c r="P30">
        <f>IF(ISNA(Q30),NA(),1)</f>
        <v/>
      </c>
      <c r="Q30">
        <f>IF(INDEX('Data'!$D$6:$F$205,2,$P$5)="",NA(),IF(OR(INDEX('Data'!$D$6:$F$205,2,$P$5)&lt;C12-1.5*C16,INDEX('Data'!$D$6:$F$205,2,$P$5)&gt;C13+1.5*C16),INDEX('Data'!$D$6:$F$205,2,$P$5),NA()))</f>
        <v/>
      </c>
    </row>
    <row r="31">
      <c r="P31">
        <f>IF(ISNA(Q31),NA(),1)</f>
        <v/>
      </c>
      <c r="Q31">
        <f>IF(INDEX('Data'!$D$6:$F$205,3,$P$5)="",NA(),IF(OR(INDEX('Data'!$D$6:$F$205,3,$P$5)&lt;C12-1.5*C16,INDEX('Data'!$D$6:$F$205,3,$P$5)&gt;C13+1.5*C16),INDEX('Data'!$D$6:$F$205,3,$P$5),NA()))</f>
        <v/>
      </c>
    </row>
    <row r="32">
      <c r="P32">
        <f>IF(ISNA(Q32),NA(),1)</f>
        <v/>
      </c>
      <c r="Q32">
        <f>IF(INDEX('Data'!$D$6:$F$205,4,$P$5)="",NA(),IF(OR(INDEX('Data'!$D$6:$F$205,4,$P$5)&lt;C12-1.5*C16,INDEX('Data'!$D$6:$F$205,4,$P$5)&gt;C13+1.5*C16),INDEX('Data'!$D$6:$F$205,4,$P$5),NA()))</f>
        <v/>
      </c>
    </row>
    <row r="33">
      <c r="P33">
        <f>IF(ISNA(Q33),NA(),1)</f>
        <v/>
      </c>
      <c r="Q33">
        <f>IF(INDEX('Data'!$D$6:$F$205,5,$P$5)="",NA(),IF(OR(INDEX('Data'!$D$6:$F$205,5,$P$5)&lt;C12-1.5*C16,INDEX('Data'!$D$6:$F$205,5,$P$5)&gt;C13+1.5*C16),INDEX('Data'!$D$6:$F$205,5,$P$5),NA()))</f>
        <v/>
      </c>
    </row>
    <row r="34">
      <c r="P34">
        <f>IF(ISNA(Q34),NA(),1)</f>
        <v/>
      </c>
      <c r="Q34">
        <f>IF(INDEX('Data'!$D$6:$F$205,6,$P$5)="",NA(),IF(OR(INDEX('Data'!$D$6:$F$205,6,$P$5)&lt;C12-1.5*C16,INDEX('Data'!$D$6:$F$205,6,$P$5)&gt;C13+1.5*C16),INDEX('Data'!$D$6:$F$205,6,$P$5),NA()))</f>
        <v/>
      </c>
    </row>
    <row r="35">
      <c r="P35">
        <f>IF(ISNA(Q35),NA(),1)</f>
        <v/>
      </c>
      <c r="Q35">
        <f>IF(INDEX('Data'!$D$6:$F$205,7,$P$5)="",NA(),IF(OR(INDEX('Data'!$D$6:$F$205,7,$P$5)&lt;C12-1.5*C16,INDEX('Data'!$D$6:$F$205,7,$P$5)&gt;C13+1.5*C16),INDEX('Data'!$D$6:$F$205,7,$P$5),NA()))</f>
        <v/>
      </c>
    </row>
    <row r="36">
      <c r="P36">
        <f>IF(ISNA(Q36),NA(),1)</f>
        <v/>
      </c>
      <c r="Q36">
        <f>IF(INDEX('Data'!$D$6:$F$205,8,$P$5)="",NA(),IF(OR(INDEX('Data'!$D$6:$F$205,8,$P$5)&lt;C12-1.5*C16,INDEX('Data'!$D$6:$F$205,8,$P$5)&gt;C13+1.5*C16),INDEX('Data'!$D$6:$F$205,8,$P$5),NA()))</f>
        <v/>
      </c>
    </row>
    <row r="37">
      <c r="P37">
        <f>IF(ISNA(Q37),NA(),1)</f>
        <v/>
      </c>
      <c r="Q37">
        <f>IF(INDEX('Data'!$D$6:$F$205,9,$P$5)="",NA(),IF(OR(INDEX('Data'!$D$6:$F$205,9,$P$5)&lt;C12-1.5*C16,INDEX('Data'!$D$6:$F$205,9,$P$5)&gt;C13+1.5*C16),INDEX('Data'!$D$6:$F$205,9,$P$5),NA()))</f>
        <v/>
      </c>
    </row>
    <row r="38">
      <c r="P38">
        <f>IF(ISNA(Q38),NA(),1)</f>
        <v/>
      </c>
      <c r="Q38">
        <f>IF(INDEX('Data'!$D$6:$F$205,10,$P$5)="",NA(),IF(OR(INDEX('Data'!$D$6:$F$205,10,$P$5)&lt;C12-1.5*C16,INDEX('Data'!$D$6:$F$205,10,$P$5)&gt;C13+1.5*C16),INDEX('Data'!$D$6:$F$205,10,$P$5),NA()))</f>
        <v/>
      </c>
    </row>
    <row r="39">
      <c r="P39">
        <f>IF(ISNA(Q39),NA(),1)</f>
        <v/>
      </c>
      <c r="Q39">
        <f>IF(INDEX('Data'!$D$6:$F$205,11,$P$5)="",NA(),IF(OR(INDEX('Data'!$D$6:$F$205,11,$P$5)&lt;C12-1.5*C16,INDEX('Data'!$D$6:$F$205,11,$P$5)&gt;C13+1.5*C16),INDEX('Data'!$D$6:$F$205,11,$P$5),NA()))</f>
        <v/>
      </c>
    </row>
    <row r="40">
      <c r="P40">
        <f>IF(ISNA(Q40),NA(),1)</f>
        <v/>
      </c>
      <c r="Q40">
        <f>IF(INDEX('Data'!$D$6:$F$205,12,$P$5)="",NA(),IF(OR(INDEX('Data'!$D$6:$F$205,12,$P$5)&lt;C12-1.5*C16,INDEX('Data'!$D$6:$F$205,12,$P$5)&gt;C13+1.5*C16),INDEX('Data'!$D$6:$F$205,12,$P$5),NA()))</f>
        <v/>
      </c>
    </row>
    <row r="41">
      <c r="P41">
        <f>IF(ISNA(Q41),NA(),1)</f>
        <v/>
      </c>
      <c r="Q41">
        <f>IF(INDEX('Data'!$D$6:$F$205,13,$P$5)="",NA(),IF(OR(INDEX('Data'!$D$6:$F$205,13,$P$5)&lt;C12-1.5*C16,INDEX('Data'!$D$6:$F$205,13,$P$5)&gt;C13+1.5*C16),INDEX('Data'!$D$6:$F$205,13,$P$5),NA()))</f>
        <v/>
      </c>
    </row>
    <row r="42">
      <c r="P42">
        <f>IF(ISNA(Q42),NA(),1)</f>
        <v/>
      </c>
      <c r="Q42">
        <f>IF(INDEX('Data'!$D$6:$F$205,14,$P$5)="",NA(),IF(OR(INDEX('Data'!$D$6:$F$205,14,$P$5)&lt;C12-1.5*C16,INDEX('Data'!$D$6:$F$205,14,$P$5)&gt;C13+1.5*C16),INDEX('Data'!$D$6:$F$205,14,$P$5),NA()))</f>
        <v/>
      </c>
    </row>
    <row r="43">
      <c r="P43">
        <f>IF(ISNA(Q43),NA(),1)</f>
        <v/>
      </c>
      <c r="Q43">
        <f>IF(INDEX('Data'!$D$6:$F$205,15,$P$5)="",NA(),IF(OR(INDEX('Data'!$D$6:$F$205,15,$P$5)&lt;C12-1.5*C16,INDEX('Data'!$D$6:$F$205,15,$P$5)&gt;C13+1.5*C16),INDEX('Data'!$D$6:$F$205,15,$P$5),NA()))</f>
        <v/>
      </c>
    </row>
    <row r="44">
      <c r="P44">
        <f>IF(ISNA(Q44),NA(),1)</f>
        <v/>
      </c>
      <c r="Q44">
        <f>IF(INDEX('Data'!$D$6:$F$205,16,$P$5)="",NA(),IF(OR(INDEX('Data'!$D$6:$F$205,16,$P$5)&lt;C12-1.5*C16,INDEX('Data'!$D$6:$F$205,16,$P$5)&gt;C13+1.5*C16),INDEX('Data'!$D$6:$F$205,16,$P$5),NA()))</f>
        <v/>
      </c>
    </row>
    <row r="45">
      <c r="P45">
        <f>IF(ISNA(Q45),NA(),1)</f>
        <v/>
      </c>
      <c r="Q45">
        <f>IF(INDEX('Data'!$D$6:$F$205,17,$P$5)="",NA(),IF(OR(INDEX('Data'!$D$6:$F$205,17,$P$5)&lt;C12-1.5*C16,INDEX('Data'!$D$6:$F$205,17,$P$5)&gt;C13+1.5*C16),INDEX('Data'!$D$6:$F$205,17,$P$5),NA()))</f>
        <v/>
      </c>
    </row>
    <row r="46">
      <c r="P46">
        <f>IF(ISNA(Q46),NA(),1)</f>
        <v/>
      </c>
      <c r="Q46">
        <f>IF(INDEX('Data'!$D$6:$F$205,18,$P$5)="",NA(),IF(OR(INDEX('Data'!$D$6:$F$205,18,$P$5)&lt;C12-1.5*C16,INDEX('Data'!$D$6:$F$205,18,$P$5)&gt;C13+1.5*C16),INDEX('Data'!$D$6:$F$205,18,$P$5),NA()))</f>
        <v/>
      </c>
    </row>
    <row r="47">
      <c r="P47">
        <f>IF(ISNA(Q47),NA(),1)</f>
        <v/>
      </c>
      <c r="Q47">
        <f>IF(INDEX('Data'!$D$6:$F$205,19,$P$5)="",NA(),IF(OR(INDEX('Data'!$D$6:$F$205,19,$P$5)&lt;C12-1.5*C16,INDEX('Data'!$D$6:$F$205,19,$P$5)&gt;C13+1.5*C16),INDEX('Data'!$D$6:$F$205,19,$P$5),NA()))</f>
        <v/>
      </c>
    </row>
    <row r="48">
      <c r="P48">
        <f>IF(ISNA(Q48),NA(),1)</f>
        <v/>
      </c>
      <c r="Q48">
        <f>IF(INDEX('Data'!$D$6:$F$205,20,$P$5)="",NA(),IF(OR(INDEX('Data'!$D$6:$F$205,20,$P$5)&lt;C12-1.5*C16,INDEX('Data'!$D$6:$F$205,20,$P$5)&gt;C13+1.5*C16),INDEX('Data'!$D$6:$F$205,20,$P$5),NA()))</f>
        <v/>
      </c>
    </row>
    <row r="49">
      <c r="P49">
        <f>IF(ISNA(Q49),NA(),1)</f>
        <v/>
      </c>
      <c r="Q49">
        <f>IF(INDEX('Data'!$D$6:$F$205,21,$P$5)="",NA(),IF(OR(INDEX('Data'!$D$6:$F$205,21,$P$5)&lt;C12-1.5*C16,INDEX('Data'!$D$6:$F$205,21,$P$5)&gt;C13+1.5*C16),INDEX('Data'!$D$6:$F$205,21,$P$5),NA()))</f>
        <v/>
      </c>
    </row>
    <row r="50">
      <c r="P50">
        <f>IF(ISNA(Q50),NA(),1)</f>
        <v/>
      </c>
      <c r="Q50">
        <f>IF(INDEX('Data'!$D$6:$F$205,22,$P$5)="",NA(),IF(OR(INDEX('Data'!$D$6:$F$205,22,$P$5)&lt;C12-1.5*C16,INDEX('Data'!$D$6:$F$205,22,$P$5)&gt;C13+1.5*C16),INDEX('Data'!$D$6:$F$205,22,$P$5),NA()))</f>
        <v/>
      </c>
    </row>
    <row r="51">
      <c r="P51">
        <f>IF(ISNA(Q51),NA(),1)</f>
        <v/>
      </c>
      <c r="Q51">
        <f>IF(INDEX('Data'!$D$6:$F$205,23,$P$5)="",NA(),IF(OR(INDEX('Data'!$D$6:$F$205,23,$P$5)&lt;C12-1.5*C16,INDEX('Data'!$D$6:$F$205,23,$P$5)&gt;C13+1.5*C16),INDEX('Data'!$D$6:$F$205,23,$P$5),NA()))</f>
        <v/>
      </c>
    </row>
    <row r="52">
      <c r="P52">
        <f>IF(ISNA(Q52),NA(),1)</f>
        <v/>
      </c>
      <c r="Q52">
        <f>IF(INDEX('Data'!$D$6:$F$205,24,$P$5)="",NA(),IF(OR(INDEX('Data'!$D$6:$F$205,24,$P$5)&lt;C12-1.5*C16,INDEX('Data'!$D$6:$F$205,24,$P$5)&gt;C13+1.5*C16),INDEX('Data'!$D$6:$F$205,24,$P$5),NA()))</f>
        <v/>
      </c>
    </row>
    <row r="53">
      <c r="P53">
        <f>IF(ISNA(Q53),NA(),1)</f>
        <v/>
      </c>
      <c r="Q53">
        <f>IF(INDEX('Data'!$D$6:$F$205,25,$P$5)="",NA(),IF(OR(INDEX('Data'!$D$6:$F$205,25,$P$5)&lt;C12-1.5*C16,INDEX('Data'!$D$6:$F$205,25,$P$5)&gt;C13+1.5*C16),INDEX('Data'!$D$6:$F$205,25,$P$5),NA()))</f>
        <v/>
      </c>
    </row>
    <row r="54">
      <c r="P54">
        <f>IF(ISNA(Q54),NA(),1)</f>
        <v/>
      </c>
      <c r="Q54">
        <f>IF(INDEX('Data'!$D$6:$F$205,26,$P$5)="",NA(),IF(OR(INDEX('Data'!$D$6:$F$205,26,$P$5)&lt;C12-1.5*C16,INDEX('Data'!$D$6:$F$205,26,$P$5)&gt;C13+1.5*C16),INDEX('Data'!$D$6:$F$205,26,$P$5),NA()))</f>
        <v/>
      </c>
    </row>
    <row r="55">
      <c r="P55">
        <f>IF(ISNA(Q55),NA(),1)</f>
        <v/>
      </c>
      <c r="Q55">
        <f>IF(INDEX('Data'!$D$6:$F$205,27,$P$5)="",NA(),IF(OR(INDEX('Data'!$D$6:$F$205,27,$P$5)&lt;C12-1.5*C16,INDEX('Data'!$D$6:$F$205,27,$P$5)&gt;C13+1.5*C16),INDEX('Data'!$D$6:$F$205,27,$P$5),NA()))</f>
        <v/>
      </c>
    </row>
    <row r="56">
      <c r="P56">
        <f>IF(ISNA(Q56),NA(),1)</f>
        <v/>
      </c>
      <c r="Q56">
        <f>IF(INDEX('Data'!$D$6:$F$205,28,$P$5)="",NA(),IF(OR(INDEX('Data'!$D$6:$F$205,28,$P$5)&lt;C12-1.5*C16,INDEX('Data'!$D$6:$F$205,28,$P$5)&gt;C13+1.5*C16),INDEX('Data'!$D$6:$F$205,28,$P$5),NA()))</f>
        <v/>
      </c>
    </row>
    <row r="57">
      <c r="P57">
        <f>IF(ISNA(Q57),NA(),1)</f>
        <v/>
      </c>
      <c r="Q57">
        <f>IF(INDEX('Data'!$D$6:$F$205,29,$P$5)="",NA(),IF(OR(INDEX('Data'!$D$6:$F$205,29,$P$5)&lt;C12-1.5*C16,INDEX('Data'!$D$6:$F$205,29,$P$5)&gt;C13+1.5*C16),INDEX('Data'!$D$6:$F$205,29,$P$5),NA()))</f>
        <v/>
      </c>
    </row>
    <row r="58">
      <c r="P58">
        <f>IF(ISNA(Q58),NA(),1)</f>
        <v/>
      </c>
      <c r="Q58">
        <f>IF(INDEX('Data'!$D$6:$F$205,30,$P$5)="",NA(),IF(OR(INDEX('Data'!$D$6:$F$205,30,$P$5)&lt;C12-1.5*C16,INDEX('Data'!$D$6:$F$205,30,$P$5)&gt;C13+1.5*C16),INDEX('Data'!$D$6:$F$205,30,$P$5),NA()))</f>
        <v/>
      </c>
    </row>
    <row r="59">
      <c r="P59">
        <f>IF(ISNA(Q59),NA(),1)</f>
        <v/>
      </c>
      <c r="Q59">
        <f>IF(INDEX('Data'!$D$6:$F$205,31,$P$5)="",NA(),IF(OR(INDEX('Data'!$D$6:$F$205,31,$P$5)&lt;C12-1.5*C16,INDEX('Data'!$D$6:$F$205,31,$P$5)&gt;C13+1.5*C16),INDEX('Data'!$D$6:$F$205,31,$P$5),NA()))</f>
        <v/>
      </c>
    </row>
    <row r="60">
      <c r="P60">
        <f>IF(ISNA(Q60),NA(),1)</f>
        <v/>
      </c>
      <c r="Q60">
        <f>IF(INDEX('Data'!$D$6:$F$205,32,$P$5)="",NA(),IF(OR(INDEX('Data'!$D$6:$F$205,32,$P$5)&lt;C12-1.5*C16,INDEX('Data'!$D$6:$F$205,32,$P$5)&gt;C13+1.5*C16),INDEX('Data'!$D$6:$F$205,32,$P$5),NA()))</f>
        <v/>
      </c>
    </row>
    <row r="61">
      <c r="P61">
        <f>IF(ISNA(Q61),NA(),1)</f>
        <v/>
      </c>
      <c r="Q61">
        <f>IF(INDEX('Data'!$D$6:$F$205,33,$P$5)="",NA(),IF(OR(INDEX('Data'!$D$6:$F$205,33,$P$5)&lt;C12-1.5*C16,INDEX('Data'!$D$6:$F$205,33,$P$5)&gt;C13+1.5*C16),INDEX('Data'!$D$6:$F$205,33,$P$5),NA()))</f>
        <v/>
      </c>
    </row>
    <row r="62">
      <c r="P62">
        <f>IF(ISNA(Q62),NA(),1)</f>
        <v/>
      </c>
      <c r="Q62">
        <f>IF(INDEX('Data'!$D$6:$F$205,34,$P$5)="",NA(),IF(OR(INDEX('Data'!$D$6:$F$205,34,$P$5)&lt;C12-1.5*C16,INDEX('Data'!$D$6:$F$205,34,$P$5)&gt;C13+1.5*C16),INDEX('Data'!$D$6:$F$205,34,$P$5),NA()))</f>
        <v/>
      </c>
    </row>
    <row r="63">
      <c r="P63">
        <f>IF(ISNA(Q63),NA(),1)</f>
        <v/>
      </c>
      <c r="Q63">
        <f>IF(INDEX('Data'!$D$6:$F$205,35,$P$5)="",NA(),IF(OR(INDEX('Data'!$D$6:$F$205,35,$P$5)&lt;C12-1.5*C16,INDEX('Data'!$D$6:$F$205,35,$P$5)&gt;C13+1.5*C16),INDEX('Data'!$D$6:$F$205,35,$P$5),NA()))</f>
        <v/>
      </c>
    </row>
    <row r="64">
      <c r="P64">
        <f>IF(ISNA(Q64),NA(),1)</f>
        <v/>
      </c>
      <c r="Q64">
        <f>IF(INDEX('Data'!$D$6:$F$205,36,$P$5)="",NA(),IF(OR(INDEX('Data'!$D$6:$F$205,36,$P$5)&lt;C12-1.5*C16,INDEX('Data'!$D$6:$F$205,36,$P$5)&gt;C13+1.5*C16),INDEX('Data'!$D$6:$F$205,36,$P$5),NA()))</f>
        <v/>
      </c>
    </row>
    <row r="65">
      <c r="P65">
        <f>IF(ISNA(Q65),NA(),1)</f>
        <v/>
      </c>
      <c r="Q65">
        <f>IF(INDEX('Data'!$D$6:$F$205,37,$P$5)="",NA(),IF(OR(INDEX('Data'!$D$6:$F$205,37,$P$5)&lt;C12-1.5*C16,INDEX('Data'!$D$6:$F$205,37,$P$5)&gt;C13+1.5*C16),INDEX('Data'!$D$6:$F$205,37,$P$5),NA()))</f>
        <v/>
      </c>
    </row>
    <row r="66">
      <c r="P66">
        <f>IF(ISNA(Q66),NA(),1)</f>
        <v/>
      </c>
      <c r="Q66">
        <f>IF(INDEX('Data'!$D$6:$F$205,38,$P$5)="",NA(),IF(OR(INDEX('Data'!$D$6:$F$205,38,$P$5)&lt;C12-1.5*C16,INDEX('Data'!$D$6:$F$205,38,$P$5)&gt;C13+1.5*C16),INDEX('Data'!$D$6:$F$205,38,$P$5),NA()))</f>
        <v/>
      </c>
    </row>
    <row r="67">
      <c r="P67">
        <f>IF(ISNA(Q67),NA(),1)</f>
        <v/>
      </c>
      <c r="Q67">
        <f>IF(INDEX('Data'!$D$6:$F$205,39,$P$5)="",NA(),IF(OR(INDEX('Data'!$D$6:$F$205,39,$P$5)&lt;C12-1.5*C16,INDEX('Data'!$D$6:$F$205,39,$P$5)&gt;C13+1.5*C16),INDEX('Data'!$D$6:$F$205,39,$P$5),NA()))</f>
        <v/>
      </c>
    </row>
    <row r="68">
      <c r="P68">
        <f>IF(ISNA(Q68),NA(),1)</f>
        <v/>
      </c>
      <c r="Q68">
        <f>IF(INDEX('Data'!$D$6:$F$205,40,$P$5)="",NA(),IF(OR(INDEX('Data'!$D$6:$F$205,40,$P$5)&lt;C12-1.5*C16,INDEX('Data'!$D$6:$F$205,40,$P$5)&gt;C13+1.5*C16),INDEX('Data'!$D$6:$F$205,40,$P$5),NA()))</f>
        <v/>
      </c>
    </row>
    <row r="69">
      <c r="P69">
        <f>IF(ISNA(Q69),NA(),1)</f>
        <v/>
      </c>
      <c r="Q69">
        <f>IF(INDEX('Data'!$D$6:$F$205,41,$P$5)="",NA(),IF(OR(INDEX('Data'!$D$6:$F$205,41,$P$5)&lt;C12-1.5*C16,INDEX('Data'!$D$6:$F$205,41,$P$5)&gt;C13+1.5*C16),INDEX('Data'!$D$6:$F$205,41,$P$5),NA()))</f>
        <v/>
      </c>
    </row>
    <row r="70">
      <c r="P70">
        <f>IF(ISNA(Q70),NA(),1)</f>
        <v/>
      </c>
      <c r="Q70">
        <f>IF(INDEX('Data'!$D$6:$F$205,42,$P$5)="",NA(),IF(OR(INDEX('Data'!$D$6:$F$205,42,$P$5)&lt;C12-1.5*C16,INDEX('Data'!$D$6:$F$205,42,$P$5)&gt;C13+1.5*C16),INDEX('Data'!$D$6:$F$205,42,$P$5),NA()))</f>
        <v/>
      </c>
    </row>
    <row r="71">
      <c r="P71">
        <f>IF(ISNA(Q71),NA(),1)</f>
        <v/>
      </c>
      <c r="Q71">
        <f>IF(INDEX('Data'!$D$6:$F$205,43,$P$5)="",NA(),IF(OR(INDEX('Data'!$D$6:$F$205,43,$P$5)&lt;C12-1.5*C16,INDEX('Data'!$D$6:$F$205,43,$P$5)&gt;C13+1.5*C16),INDEX('Data'!$D$6:$F$205,43,$P$5),NA()))</f>
        <v/>
      </c>
    </row>
    <row r="72">
      <c r="P72">
        <f>IF(ISNA(Q72),NA(),1)</f>
        <v/>
      </c>
      <c r="Q72">
        <f>IF(INDEX('Data'!$D$6:$F$205,44,$P$5)="",NA(),IF(OR(INDEX('Data'!$D$6:$F$205,44,$P$5)&lt;C12-1.5*C16,INDEX('Data'!$D$6:$F$205,44,$P$5)&gt;C13+1.5*C16),INDEX('Data'!$D$6:$F$205,44,$P$5),NA()))</f>
        <v/>
      </c>
    </row>
    <row r="73">
      <c r="P73">
        <f>IF(ISNA(Q73),NA(),1)</f>
        <v/>
      </c>
      <c r="Q73">
        <f>IF(INDEX('Data'!$D$6:$F$205,45,$P$5)="",NA(),IF(OR(INDEX('Data'!$D$6:$F$205,45,$P$5)&lt;C12-1.5*C16,INDEX('Data'!$D$6:$F$205,45,$P$5)&gt;C13+1.5*C16),INDEX('Data'!$D$6:$F$205,45,$P$5),NA()))</f>
        <v/>
      </c>
    </row>
    <row r="74">
      <c r="P74">
        <f>IF(ISNA(Q74),NA(),1)</f>
        <v/>
      </c>
      <c r="Q74">
        <f>IF(INDEX('Data'!$D$6:$F$205,46,$P$5)="",NA(),IF(OR(INDEX('Data'!$D$6:$F$205,46,$P$5)&lt;C12-1.5*C16,INDEX('Data'!$D$6:$F$205,46,$P$5)&gt;C13+1.5*C16),INDEX('Data'!$D$6:$F$205,46,$P$5),NA()))</f>
        <v/>
      </c>
    </row>
    <row r="75">
      <c r="P75">
        <f>IF(ISNA(Q75),NA(),1)</f>
        <v/>
      </c>
      <c r="Q75">
        <f>IF(INDEX('Data'!$D$6:$F$205,47,$P$5)="",NA(),IF(OR(INDEX('Data'!$D$6:$F$205,47,$P$5)&lt;C12-1.5*C16,INDEX('Data'!$D$6:$F$205,47,$P$5)&gt;C13+1.5*C16),INDEX('Data'!$D$6:$F$205,47,$P$5),NA()))</f>
        <v/>
      </c>
    </row>
    <row r="76">
      <c r="P76">
        <f>IF(ISNA(Q76),NA(),1)</f>
        <v/>
      </c>
      <c r="Q76">
        <f>IF(INDEX('Data'!$D$6:$F$205,48,$P$5)="",NA(),IF(OR(INDEX('Data'!$D$6:$F$205,48,$P$5)&lt;C12-1.5*C16,INDEX('Data'!$D$6:$F$205,48,$P$5)&gt;C13+1.5*C16),INDEX('Data'!$D$6:$F$205,48,$P$5),NA()))</f>
        <v/>
      </c>
    </row>
    <row r="77">
      <c r="P77">
        <f>IF(ISNA(Q77),NA(),1)</f>
        <v/>
      </c>
      <c r="Q77">
        <f>IF(INDEX('Data'!$D$6:$F$205,49,$P$5)="",NA(),IF(OR(INDEX('Data'!$D$6:$F$205,49,$P$5)&lt;C12-1.5*C16,INDEX('Data'!$D$6:$F$205,49,$P$5)&gt;C13+1.5*C16),INDEX('Data'!$D$6:$F$205,49,$P$5),NA()))</f>
        <v/>
      </c>
    </row>
    <row r="78">
      <c r="P78">
        <f>IF(ISNA(Q78),NA(),1)</f>
        <v/>
      </c>
      <c r="Q78">
        <f>IF(INDEX('Data'!$D$6:$F$205,50,$P$5)="",NA(),IF(OR(INDEX('Data'!$D$6:$F$205,50,$P$5)&lt;C12-1.5*C16,INDEX('Data'!$D$6:$F$205,50,$P$5)&gt;C13+1.5*C16),INDEX('Data'!$D$6:$F$205,50,$P$5),NA()))</f>
        <v/>
      </c>
    </row>
    <row r="79">
      <c r="P79">
        <f>IF(ISNA(Q79),NA(),1)</f>
        <v/>
      </c>
      <c r="Q79">
        <f>IF(INDEX('Data'!$D$6:$F$205,51,$P$5)="",NA(),IF(OR(INDEX('Data'!$D$6:$F$205,51,$P$5)&lt;C12-1.5*C16,INDEX('Data'!$D$6:$F$205,51,$P$5)&gt;C13+1.5*C16),INDEX('Data'!$D$6:$F$205,51,$P$5),NA()))</f>
        <v/>
      </c>
    </row>
    <row r="80">
      <c r="P80">
        <f>IF(ISNA(Q80),NA(),1)</f>
        <v/>
      </c>
      <c r="Q80">
        <f>IF(INDEX('Data'!$D$6:$F$205,52,$P$5)="",NA(),IF(OR(INDEX('Data'!$D$6:$F$205,52,$P$5)&lt;C12-1.5*C16,INDEX('Data'!$D$6:$F$205,52,$P$5)&gt;C13+1.5*C16),INDEX('Data'!$D$6:$F$205,52,$P$5),NA()))</f>
        <v/>
      </c>
    </row>
    <row r="81">
      <c r="P81">
        <f>IF(ISNA(Q81),NA(),1)</f>
        <v/>
      </c>
      <c r="Q81">
        <f>IF(INDEX('Data'!$D$6:$F$205,53,$P$5)="",NA(),IF(OR(INDEX('Data'!$D$6:$F$205,53,$P$5)&lt;C12-1.5*C16,INDEX('Data'!$D$6:$F$205,53,$P$5)&gt;C13+1.5*C16),INDEX('Data'!$D$6:$F$205,53,$P$5),NA()))</f>
        <v/>
      </c>
    </row>
    <row r="82">
      <c r="P82">
        <f>IF(ISNA(Q82),NA(),1)</f>
        <v/>
      </c>
      <c r="Q82">
        <f>IF(INDEX('Data'!$D$6:$F$205,54,$P$5)="",NA(),IF(OR(INDEX('Data'!$D$6:$F$205,54,$P$5)&lt;C12-1.5*C16,INDEX('Data'!$D$6:$F$205,54,$P$5)&gt;C13+1.5*C16),INDEX('Data'!$D$6:$F$205,54,$P$5),NA()))</f>
        <v/>
      </c>
    </row>
    <row r="83">
      <c r="P83">
        <f>IF(ISNA(Q83),NA(),1)</f>
        <v/>
      </c>
      <c r="Q83">
        <f>IF(INDEX('Data'!$D$6:$F$205,55,$P$5)="",NA(),IF(OR(INDEX('Data'!$D$6:$F$205,55,$P$5)&lt;C12-1.5*C16,INDEX('Data'!$D$6:$F$205,55,$P$5)&gt;C13+1.5*C16),INDEX('Data'!$D$6:$F$205,55,$P$5),NA()))</f>
        <v/>
      </c>
    </row>
    <row r="84">
      <c r="P84">
        <f>IF(ISNA(Q84),NA(),1)</f>
        <v/>
      </c>
      <c r="Q84">
        <f>IF(INDEX('Data'!$D$6:$F$205,56,$P$5)="",NA(),IF(OR(INDEX('Data'!$D$6:$F$205,56,$P$5)&lt;C12-1.5*C16,INDEX('Data'!$D$6:$F$205,56,$P$5)&gt;C13+1.5*C16),INDEX('Data'!$D$6:$F$205,56,$P$5),NA()))</f>
        <v/>
      </c>
    </row>
    <row r="85">
      <c r="P85">
        <f>IF(ISNA(Q85),NA(),1)</f>
        <v/>
      </c>
      <c r="Q85">
        <f>IF(INDEX('Data'!$D$6:$F$205,57,$P$5)="",NA(),IF(OR(INDEX('Data'!$D$6:$F$205,57,$P$5)&lt;C12-1.5*C16,INDEX('Data'!$D$6:$F$205,57,$P$5)&gt;C13+1.5*C16),INDEX('Data'!$D$6:$F$205,57,$P$5),NA()))</f>
        <v/>
      </c>
    </row>
    <row r="86">
      <c r="P86">
        <f>IF(ISNA(Q86),NA(),1)</f>
        <v/>
      </c>
      <c r="Q86">
        <f>IF(INDEX('Data'!$D$6:$F$205,58,$P$5)="",NA(),IF(OR(INDEX('Data'!$D$6:$F$205,58,$P$5)&lt;C12-1.5*C16,INDEX('Data'!$D$6:$F$205,58,$P$5)&gt;C13+1.5*C16),INDEX('Data'!$D$6:$F$205,58,$P$5),NA()))</f>
        <v/>
      </c>
    </row>
    <row r="87">
      <c r="P87">
        <f>IF(ISNA(Q87),NA(),1)</f>
        <v/>
      </c>
      <c r="Q87">
        <f>IF(INDEX('Data'!$D$6:$F$205,59,$P$5)="",NA(),IF(OR(INDEX('Data'!$D$6:$F$205,59,$P$5)&lt;C12-1.5*C16,INDEX('Data'!$D$6:$F$205,59,$P$5)&gt;C13+1.5*C16),INDEX('Data'!$D$6:$F$205,59,$P$5),NA()))</f>
        <v/>
      </c>
    </row>
    <row r="88">
      <c r="P88">
        <f>IF(ISNA(Q88),NA(),1)</f>
        <v/>
      </c>
      <c r="Q88">
        <f>IF(INDEX('Data'!$D$6:$F$205,60,$P$5)="",NA(),IF(OR(INDEX('Data'!$D$6:$F$205,60,$P$5)&lt;C12-1.5*C16,INDEX('Data'!$D$6:$F$205,60,$P$5)&gt;C13+1.5*C16),INDEX('Data'!$D$6:$F$205,60,$P$5),NA()))</f>
        <v/>
      </c>
    </row>
    <row r="89">
      <c r="P89">
        <f>IF(ISNA(Q89),NA(),1)</f>
        <v/>
      </c>
      <c r="Q89">
        <f>IF(INDEX('Data'!$D$6:$F$205,61,$P$5)="",NA(),IF(OR(INDEX('Data'!$D$6:$F$205,61,$P$5)&lt;C12-1.5*C16,INDEX('Data'!$D$6:$F$205,61,$P$5)&gt;C13+1.5*C16),INDEX('Data'!$D$6:$F$205,61,$P$5),NA()))</f>
        <v/>
      </c>
    </row>
    <row r="90">
      <c r="P90">
        <f>IF(ISNA(Q90),NA(),1)</f>
        <v/>
      </c>
      <c r="Q90">
        <f>IF(INDEX('Data'!$D$6:$F$205,62,$P$5)="",NA(),IF(OR(INDEX('Data'!$D$6:$F$205,62,$P$5)&lt;C12-1.5*C16,INDEX('Data'!$D$6:$F$205,62,$P$5)&gt;C13+1.5*C16),INDEX('Data'!$D$6:$F$205,62,$P$5),NA()))</f>
        <v/>
      </c>
    </row>
    <row r="91">
      <c r="P91">
        <f>IF(ISNA(Q91),NA(),1)</f>
        <v/>
      </c>
      <c r="Q91">
        <f>IF(INDEX('Data'!$D$6:$F$205,63,$P$5)="",NA(),IF(OR(INDEX('Data'!$D$6:$F$205,63,$P$5)&lt;C12-1.5*C16,INDEX('Data'!$D$6:$F$205,63,$P$5)&gt;C13+1.5*C16),INDEX('Data'!$D$6:$F$205,63,$P$5),NA()))</f>
        <v/>
      </c>
    </row>
    <row r="92">
      <c r="P92">
        <f>IF(ISNA(Q92),NA(),1)</f>
        <v/>
      </c>
      <c r="Q92">
        <f>IF(INDEX('Data'!$D$6:$F$205,64,$P$5)="",NA(),IF(OR(INDEX('Data'!$D$6:$F$205,64,$P$5)&lt;C12-1.5*C16,INDEX('Data'!$D$6:$F$205,64,$P$5)&gt;C13+1.5*C16),INDEX('Data'!$D$6:$F$205,64,$P$5),NA()))</f>
        <v/>
      </c>
    </row>
    <row r="93">
      <c r="P93">
        <f>IF(ISNA(Q93),NA(),1)</f>
        <v/>
      </c>
      <c r="Q93">
        <f>IF(INDEX('Data'!$D$6:$F$205,65,$P$5)="",NA(),IF(OR(INDEX('Data'!$D$6:$F$205,65,$P$5)&lt;C12-1.5*C16,INDEX('Data'!$D$6:$F$205,65,$P$5)&gt;C13+1.5*C16),INDEX('Data'!$D$6:$F$205,65,$P$5),NA()))</f>
        <v/>
      </c>
    </row>
    <row r="94">
      <c r="P94">
        <f>IF(ISNA(Q94),NA(),1)</f>
        <v/>
      </c>
      <c r="Q94">
        <f>IF(INDEX('Data'!$D$6:$F$205,66,$P$5)="",NA(),IF(OR(INDEX('Data'!$D$6:$F$205,66,$P$5)&lt;C12-1.5*C16,INDEX('Data'!$D$6:$F$205,66,$P$5)&gt;C13+1.5*C16),INDEX('Data'!$D$6:$F$205,66,$P$5),NA()))</f>
        <v/>
      </c>
    </row>
    <row r="95">
      <c r="P95">
        <f>IF(ISNA(Q95),NA(),1)</f>
        <v/>
      </c>
      <c r="Q95">
        <f>IF(INDEX('Data'!$D$6:$F$205,67,$P$5)="",NA(),IF(OR(INDEX('Data'!$D$6:$F$205,67,$P$5)&lt;C12-1.5*C16,INDEX('Data'!$D$6:$F$205,67,$P$5)&gt;C13+1.5*C16),INDEX('Data'!$D$6:$F$205,67,$P$5),NA()))</f>
        <v/>
      </c>
    </row>
    <row r="96">
      <c r="P96">
        <f>IF(ISNA(Q96),NA(),1)</f>
        <v/>
      </c>
      <c r="Q96">
        <f>IF(INDEX('Data'!$D$6:$F$205,68,$P$5)="",NA(),IF(OR(INDEX('Data'!$D$6:$F$205,68,$P$5)&lt;C12-1.5*C16,INDEX('Data'!$D$6:$F$205,68,$P$5)&gt;C13+1.5*C16),INDEX('Data'!$D$6:$F$205,68,$P$5),NA()))</f>
        <v/>
      </c>
    </row>
    <row r="97">
      <c r="P97">
        <f>IF(ISNA(Q97),NA(),1)</f>
        <v/>
      </c>
      <c r="Q97">
        <f>IF(INDEX('Data'!$D$6:$F$205,69,$P$5)="",NA(),IF(OR(INDEX('Data'!$D$6:$F$205,69,$P$5)&lt;C12-1.5*C16,INDEX('Data'!$D$6:$F$205,69,$P$5)&gt;C13+1.5*C16),INDEX('Data'!$D$6:$F$205,69,$P$5),NA()))</f>
        <v/>
      </c>
    </row>
    <row r="98">
      <c r="P98">
        <f>IF(ISNA(Q98),NA(),1)</f>
        <v/>
      </c>
      <c r="Q98">
        <f>IF(INDEX('Data'!$D$6:$F$205,70,$P$5)="",NA(),IF(OR(INDEX('Data'!$D$6:$F$205,70,$P$5)&lt;C12-1.5*C16,INDEX('Data'!$D$6:$F$205,70,$P$5)&gt;C13+1.5*C16),INDEX('Data'!$D$6:$F$205,70,$P$5),NA()))</f>
        <v/>
      </c>
    </row>
    <row r="99">
      <c r="P99">
        <f>IF(ISNA(Q99),NA(),1)</f>
        <v/>
      </c>
      <c r="Q99">
        <f>IF(INDEX('Data'!$D$6:$F$205,71,$P$5)="",NA(),IF(OR(INDEX('Data'!$D$6:$F$205,71,$P$5)&lt;C12-1.5*C16,INDEX('Data'!$D$6:$F$205,71,$P$5)&gt;C13+1.5*C16),INDEX('Data'!$D$6:$F$205,71,$P$5),NA()))</f>
        <v/>
      </c>
    </row>
    <row r="100">
      <c r="P100">
        <f>IF(ISNA(Q100),NA(),1)</f>
        <v/>
      </c>
      <c r="Q100">
        <f>IF(INDEX('Data'!$D$6:$F$205,72,$P$5)="",NA(),IF(OR(INDEX('Data'!$D$6:$F$205,72,$P$5)&lt;C12-1.5*C16,INDEX('Data'!$D$6:$F$205,72,$P$5)&gt;C13+1.5*C16),INDEX('Data'!$D$6:$F$205,72,$P$5),NA()))</f>
        <v/>
      </c>
    </row>
    <row r="101">
      <c r="P101">
        <f>IF(ISNA(Q101),NA(),1)</f>
        <v/>
      </c>
      <c r="Q101">
        <f>IF(INDEX('Data'!$D$6:$F$205,73,$P$5)="",NA(),IF(OR(INDEX('Data'!$D$6:$F$205,73,$P$5)&lt;C12-1.5*C16,INDEX('Data'!$D$6:$F$205,73,$P$5)&gt;C13+1.5*C16),INDEX('Data'!$D$6:$F$205,73,$P$5),NA()))</f>
        <v/>
      </c>
    </row>
    <row r="102">
      <c r="P102">
        <f>IF(ISNA(Q102),NA(),1)</f>
        <v/>
      </c>
      <c r="Q102">
        <f>IF(INDEX('Data'!$D$6:$F$205,74,$P$5)="",NA(),IF(OR(INDEX('Data'!$D$6:$F$205,74,$P$5)&lt;C12-1.5*C16,INDEX('Data'!$D$6:$F$205,74,$P$5)&gt;C13+1.5*C16),INDEX('Data'!$D$6:$F$205,74,$P$5),NA()))</f>
        <v/>
      </c>
    </row>
    <row r="103">
      <c r="P103">
        <f>IF(ISNA(Q103),NA(),1)</f>
        <v/>
      </c>
      <c r="Q103">
        <f>IF(INDEX('Data'!$D$6:$F$205,75,$P$5)="",NA(),IF(OR(INDEX('Data'!$D$6:$F$205,75,$P$5)&lt;C12-1.5*C16,INDEX('Data'!$D$6:$F$205,75,$P$5)&gt;C13+1.5*C16),INDEX('Data'!$D$6:$F$205,75,$P$5),NA()))</f>
        <v/>
      </c>
    </row>
    <row r="104">
      <c r="P104">
        <f>IF(ISNA(Q104),NA(),1)</f>
        <v/>
      </c>
      <c r="Q104">
        <f>IF(INDEX('Data'!$D$6:$F$205,76,$P$5)="",NA(),IF(OR(INDEX('Data'!$D$6:$F$205,76,$P$5)&lt;C12-1.5*C16,INDEX('Data'!$D$6:$F$205,76,$P$5)&gt;C13+1.5*C16),INDEX('Data'!$D$6:$F$205,76,$P$5),NA()))</f>
        <v/>
      </c>
    </row>
    <row r="105">
      <c r="P105">
        <f>IF(ISNA(Q105),NA(),1)</f>
        <v/>
      </c>
      <c r="Q105">
        <f>IF(INDEX('Data'!$D$6:$F$205,77,$P$5)="",NA(),IF(OR(INDEX('Data'!$D$6:$F$205,77,$P$5)&lt;C12-1.5*C16,INDEX('Data'!$D$6:$F$205,77,$P$5)&gt;C13+1.5*C16),INDEX('Data'!$D$6:$F$205,77,$P$5),NA()))</f>
        <v/>
      </c>
    </row>
    <row r="106">
      <c r="P106">
        <f>IF(ISNA(Q106),NA(),1)</f>
        <v/>
      </c>
      <c r="Q106">
        <f>IF(INDEX('Data'!$D$6:$F$205,78,$P$5)="",NA(),IF(OR(INDEX('Data'!$D$6:$F$205,78,$P$5)&lt;C12-1.5*C16,INDEX('Data'!$D$6:$F$205,78,$P$5)&gt;C13+1.5*C16),INDEX('Data'!$D$6:$F$205,78,$P$5),NA()))</f>
        <v/>
      </c>
    </row>
    <row r="107">
      <c r="P107">
        <f>IF(ISNA(Q107),NA(),1)</f>
        <v/>
      </c>
      <c r="Q107">
        <f>IF(INDEX('Data'!$D$6:$F$205,79,$P$5)="",NA(),IF(OR(INDEX('Data'!$D$6:$F$205,79,$P$5)&lt;C12-1.5*C16,INDEX('Data'!$D$6:$F$205,79,$P$5)&gt;C13+1.5*C16),INDEX('Data'!$D$6:$F$205,79,$P$5),NA()))</f>
        <v/>
      </c>
    </row>
    <row r="108">
      <c r="P108">
        <f>IF(ISNA(Q108),NA(),1)</f>
        <v/>
      </c>
      <c r="Q108">
        <f>IF(INDEX('Data'!$D$6:$F$205,80,$P$5)="",NA(),IF(OR(INDEX('Data'!$D$6:$F$205,80,$P$5)&lt;C12-1.5*C16,INDEX('Data'!$D$6:$F$205,80,$P$5)&gt;C13+1.5*C16),INDEX('Data'!$D$6:$F$205,80,$P$5),NA()))</f>
        <v/>
      </c>
    </row>
    <row r="109">
      <c r="P109">
        <f>IF(ISNA(Q109),NA(),1)</f>
        <v/>
      </c>
      <c r="Q109">
        <f>IF(INDEX('Data'!$D$6:$F$205,81,$P$5)="",NA(),IF(OR(INDEX('Data'!$D$6:$F$205,81,$P$5)&lt;C12-1.5*C16,INDEX('Data'!$D$6:$F$205,81,$P$5)&gt;C13+1.5*C16),INDEX('Data'!$D$6:$F$205,81,$P$5),NA()))</f>
        <v/>
      </c>
    </row>
    <row r="110">
      <c r="P110">
        <f>IF(ISNA(Q110),NA(),1)</f>
        <v/>
      </c>
      <c r="Q110">
        <f>IF(INDEX('Data'!$D$6:$F$205,82,$P$5)="",NA(),IF(OR(INDEX('Data'!$D$6:$F$205,82,$P$5)&lt;C12-1.5*C16,INDEX('Data'!$D$6:$F$205,82,$P$5)&gt;C13+1.5*C16),INDEX('Data'!$D$6:$F$205,82,$P$5),NA()))</f>
        <v/>
      </c>
    </row>
    <row r="111">
      <c r="P111">
        <f>IF(ISNA(Q111),NA(),1)</f>
        <v/>
      </c>
      <c r="Q111">
        <f>IF(INDEX('Data'!$D$6:$F$205,83,$P$5)="",NA(),IF(OR(INDEX('Data'!$D$6:$F$205,83,$P$5)&lt;C12-1.5*C16,INDEX('Data'!$D$6:$F$205,83,$P$5)&gt;C13+1.5*C16),INDEX('Data'!$D$6:$F$205,83,$P$5),NA()))</f>
        <v/>
      </c>
    </row>
    <row r="112">
      <c r="P112">
        <f>IF(ISNA(Q112),NA(),1)</f>
        <v/>
      </c>
      <c r="Q112">
        <f>IF(INDEX('Data'!$D$6:$F$205,84,$P$5)="",NA(),IF(OR(INDEX('Data'!$D$6:$F$205,84,$P$5)&lt;C12-1.5*C16,INDEX('Data'!$D$6:$F$205,84,$P$5)&gt;C13+1.5*C16),INDEX('Data'!$D$6:$F$205,84,$P$5),NA()))</f>
        <v/>
      </c>
    </row>
    <row r="113">
      <c r="P113">
        <f>IF(ISNA(Q113),NA(),1)</f>
        <v/>
      </c>
      <c r="Q113">
        <f>IF(INDEX('Data'!$D$6:$F$205,85,$P$5)="",NA(),IF(OR(INDEX('Data'!$D$6:$F$205,85,$P$5)&lt;C12-1.5*C16,INDEX('Data'!$D$6:$F$205,85,$P$5)&gt;C13+1.5*C16),INDEX('Data'!$D$6:$F$205,85,$P$5),NA()))</f>
        <v/>
      </c>
    </row>
    <row r="114">
      <c r="P114">
        <f>IF(ISNA(Q114),NA(),1)</f>
        <v/>
      </c>
      <c r="Q114">
        <f>IF(INDEX('Data'!$D$6:$F$205,86,$P$5)="",NA(),IF(OR(INDEX('Data'!$D$6:$F$205,86,$P$5)&lt;C12-1.5*C16,INDEX('Data'!$D$6:$F$205,86,$P$5)&gt;C13+1.5*C16),INDEX('Data'!$D$6:$F$205,86,$P$5),NA()))</f>
        <v/>
      </c>
    </row>
    <row r="115">
      <c r="P115">
        <f>IF(ISNA(Q115),NA(),1)</f>
        <v/>
      </c>
      <c r="Q115">
        <f>IF(INDEX('Data'!$D$6:$F$205,87,$P$5)="",NA(),IF(OR(INDEX('Data'!$D$6:$F$205,87,$P$5)&lt;C12-1.5*C16,INDEX('Data'!$D$6:$F$205,87,$P$5)&gt;C13+1.5*C16),INDEX('Data'!$D$6:$F$205,87,$P$5),NA()))</f>
        <v/>
      </c>
    </row>
    <row r="116">
      <c r="P116">
        <f>IF(ISNA(Q116),NA(),1)</f>
        <v/>
      </c>
      <c r="Q116">
        <f>IF(INDEX('Data'!$D$6:$F$205,88,$P$5)="",NA(),IF(OR(INDEX('Data'!$D$6:$F$205,88,$P$5)&lt;C12-1.5*C16,INDEX('Data'!$D$6:$F$205,88,$P$5)&gt;C13+1.5*C16),INDEX('Data'!$D$6:$F$205,88,$P$5),NA()))</f>
        <v/>
      </c>
    </row>
    <row r="117">
      <c r="P117">
        <f>IF(ISNA(Q117),NA(),1)</f>
        <v/>
      </c>
      <c r="Q117">
        <f>IF(INDEX('Data'!$D$6:$F$205,89,$P$5)="",NA(),IF(OR(INDEX('Data'!$D$6:$F$205,89,$P$5)&lt;C12-1.5*C16,INDEX('Data'!$D$6:$F$205,89,$P$5)&gt;C13+1.5*C16),INDEX('Data'!$D$6:$F$205,89,$P$5),NA()))</f>
        <v/>
      </c>
    </row>
    <row r="118">
      <c r="P118">
        <f>IF(ISNA(Q118),NA(),1)</f>
        <v/>
      </c>
      <c r="Q118">
        <f>IF(INDEX('Data'!$D$6:$F$205,90,$P$5)="",NA(),IF(OR(INDEX('Data'!$D$6:$F$205,90,$P$5)&lt;C12-1.5*C16,INDEX('Data'!$D$6:$F$205,90,$P$5)&gt;C13+1.5*C16),INDEX('Data'!$D$6:$F$205,90,$P$5),NA()))</f>
        <v/>
      </c>
    </row>
    <row r="119">
      <c r="P119">
        <f>IF(ISNA(Q119),NA(),1)</f>
        <v/>
      </c>
      <c r="Q119">
        <f>IF(INDEX('Data'!$D$6:$F$205,91,$P$5)="",NA(),IF(OR(INDEX('Data'!$D$6:$F$205,91,$P$5)&lt;C12-1.5*C16,INDEX('Data'!$D$6:$F$205,91,$P$5)&gt;C13+1.5*C16),INDEX('Data'!$D$6:$F$205,91,$P$5),NA()))</f>
        <v/>
      </c>
    </row>
    <row r="120">
      <c r="P120">
        <f>IF(ISNA(Q120),NA(),1)</f>
        <v/>
      </c>
      <c r="Q120">
        <f>IF(INDEX('Data'!$D$6:$F$205,92,$P$5)="",NA(),IF(OR(INDEX('Data'!$D$6:$F$205,92,$P$5)&lt;C12-1.5*C16,INDEX('Data'!$D$6:$F$205,92,$P$5)&gt;C13+1.5*C16),INDEX('Data'!$D$6:$F$205,92,$P$5),NA()))</f>
        <v/>
      </c>
    </row>
    <row r="121">
      <c r="P121">
        <f>IF(ISNA(Q121),NA(),1)</f>
        <v/>
      </c>
      <c r="Q121">
        <f>IF(INDEX('Data'!$D$6:$F$205,93,$P$5)="",NA(),IF(OR(INDEX('Data'!$D$6:$F$205,93,$P$5)&lt;C12-1.5*C16,INDEX('Data'!$D$6:$F$205,93,$P$5)&gt;C13+1.5*C16),INDEX('Data'!$D$6:$F$205,93,$P$5),NA()))</f>
        <v/>
      </c>
    </row>
    <row r="122">
      <c r="P122">
        <f>IF(ISNA(Q122),NA(),1)</f>
        <v/>
      </c>
      <c r="Q122">
        <f>IF(INDEX('Data'!$D$6:$F$205,94,$P$5)="",NA(),IF(OR(INDEX('Data'!$D$6:$F$205,94,$P$5)&lt;C12-1.5*C16,INDEX('Data'!$D$6:$F$205,94,$P$5)&gt;C13+1.5*C16),INDEX('Data'!$D$6:$F$205,94,$P$5),NA()))</f>
        <v/>
      </c>
    </row>
    <row r="123">
      <c r="P123">
        <f>IF(ISNA(Q123),NA(),1)</f>
        <v/>
      </c>
      <c r="Q123">
        <f>IF(INDEX('Data'!$D$6:$F$205,95,$P$5)="",NA(),IF(OR(INDEX('Data'!$D$6:$F$205,95,$P$5)&lt;C12-1.5*C16,INDEX('Data'!$D$6:$F$205,95,$P$5)&gt;C13+1.5*C16),INDEX('Data'!$D$6:$F$205,95,$P$5),NA()))</f>
        <v/>
      </c>
    </row>
    <row r="124">
      <c r="P124">
        <f>IF(ISNA(Q124),NA(),1)</f>
        <v/>
      </c>
      <c r="Q124">
        <f>IF(INDEX('Data'!$D$6:$F$205,96,$P$5)="",NA(),IF(OR(INDEX('Data'!$D$6:$F$205,96,$P$5)&lt;C12-1.5*C16,INDEX('Data'!$D$6:$F$205,96,$P$5)&gt;C13+1.5*C16),INDEX('Data'!$D$6:$F$205,96,$P$5),NA()))</f>
        <v/>
      </c>
    </row>
    <row r="125">
      <c r="P125">
        <f>IF(ISNA(Q125),NA(),1)</f>
        <v/>
      </c>
      <c r="Q125">
        <f>IF(INDEX('Data'!$D$6:$F$205,97,$P$5)="",NA(),IF(OR(INDEX('Data'!$D$6:$F$205,97,$P$5)&lt;C12-1.5*C16,INDEX('Data'!$D$6:$F$205,97,$P$5)&gt;C13+1.5*C16),INDEX('Data'!$D$6:$F$205,97,$P$5),NA()))</f>
        <v/>
      </c>
    </row>
    <row r="126">
      <c r="P126">
        <f>IF(ISNA(Q126),NA(),1)</f>
        <v/>
      </c>
      <c r="Q126">
        <f>IF(INDEX('Data'!$D$6:$F$205,98,$P$5)="",NA(),IF(OR(INDEX('Data'!$D$6:$F$205,98,$P$5)&lt;C12-1.5*C16,INDEX('Data'!$D$6:$F$205,98,$P$5)&gt;C13+1.5*C16),INDEX('Data'!$D$6:$F$205,98,$P$5),NA()))</f>
        <v/>
      </c>
    </row>
    <row r="127">
      <c r="P127">
        <f>IF(ISNA(Q127),NA(),1)</f>
        <v/>
      </c>
      <c r="Q127">
        <f>IF(INDEX('Data'!$D$6:$F$205,99,$P$5)="",NA(),IF(OR(INDEX('Data'!$D$6:$F$205,99,$P$5)&lt;C12-1.5*C16,INDEX('Data'!$D$6:$F$205,99,$P$5)&gt;C13+1.5*C16),INDEX('Data'!$D$6:$F$205,99,$P$5),NA()))</f>
        <v/>
      </c>
    </row>
    <row r="128">
      <c r="P128">
        <f>IF(ISNA(Q128),NA(),1)</f>
        <v/>
      </c>
      <c r="Q128">
        <f>IF(INDEX('Data'!$D$6:$F$205,100,$P$5)="",NA(),IF(OR(INDEX('Data'!$D$6:$F$205,100,$P$5)&lt;C12-1.5*C16,INDEX('Data'!$D$6:$F$205,100,$P$5)&gt;C13+1.5*C16),INDEX('Data'!$D$6:$F$205,100,$P$5),NA()))</f>
        <v/>
      </c>
    </row>
    <row r="129">
      <c r="P129">
        <f>IF(ISNA(Q129),NA(),1)</f>
        <v/>
      </c>
      <c r="Q129">
        <f>IF(INDEX('Data'!$D$6:$F$205,101,$P$5)="",NA(),IF(OR(INDEX('Data'!$D$6:$F$205,101,$P$5)&lt;C12-1.5*C16,INDEX('Data'!$D$6:$F$205,101,$P$5)&gt;C13+1.5*C16),INDEX('Data'!$D$6:$F$205,101,$P$5),NA()))</f>
        <v/>
      </c>
    </row>
    <row r="130">
      <c r="P130">
        <f>IF(ISNA(Q130),NA(),1)</f>
        <v/>
      </c>
      <c r="Q130">
        <f>IF(INDEX('Data'!$D$6:$F$205,102,$P$5)="",NA(),IF(OR(INDEX('Data'!$D$6:$F$205,102,$P$5)&lt;C12-1.5*C16,INDEX('Data'!$D$6:$F$205,102,$P$5)&gt;C13+1.5*C16),INDEX('Data'!$D$6:$F$205,102,$P$5),NA()))</f>
        <v/>
      </c>
    </row>
    <row r="131">
      <c r="P131">
        <f>IF(ISNA(Q131),NA(),1)</f>
        <v/>
      </c>
      <c r="Q131">
        <f>IF(INDEX('Data'!$D$6:$F$205,103,$P$5)="",NA(),IF(OR(INDEX('Data'!$D$6:$F$205,103,$P$5)&lt;C12-1.5*C16,INDEX('Data'!$D$6:$F$205,103,$P$5)&gt;C13+1.5*C16),INDEX('Data'!$D$6:$F$205,103,$P$5),NA()))</f>
        <v/>
      </c>
    </row>
    <row r="132">
      <c r="P132">
        <f>IF(ISNA(Q132),NA(),1)</f>
        <v/>
      </c>
      <c r="Q132">
        <f>IF(INDEX('Data'!$D$6:$F$205,104,$P$5)="",NA(),IF(OR(INDEX('Data'!$D$6:$F$205,104,$P$5)&lt;C12-1.5*C16,INDEX('Data'!$D$6:$F$205,104,$P$5)&gt;C13+1.5*C16),INDEX('Data'!$D$6:$F$205,104,$P$5),NA()))</f>
        <v/>
      </c>
    </row>
    <row r="133">
      <c r="P133">
        <f>IF(ISNA(Q133),NA(),1)</f>
        <v/>
      </c>
      <c r="Q133">
        <f>IF(INDEX('Data'!$D$6:$F$205,105,$P$5)="",NA(),IF(OR(INDEX('Data'!$D$6:$F$205,105,$P$5)&lt;C12-1.5*C16,INDEX('Data'!$D$6:$F$205,105,$P$5)&gt;C13+1.5*C16),INDEX('Data'!$D$6:$F$205,105,$P$5),NA()))</f>
        <v/>
      </c>
    </row>
    <row r="134">
      <c r="P134">
        <f>IF(ISNA(Q134),NA(),1)</f>
        <v/>
      </c>
      <c r="Q134">
        <f>IF(INDEX('Data'!$D$6:$F$205,106,$P$5)="",NA(),IF(OR(INDEX('Data'!$D$6:$F$205,106,$P$5)&lt;C12-1.5*C16,INDEX('Data'!$D$6:$F$205,106,$P$5)&gt;C13+1.5*C16),INDEX('Data'!$D$6:$F$205,106,$P$5),NA()))</f>
        <v/>
      </c>
    </row>
    <row r="135">
      <c r="P135">
        <f>IF(ISNA(Q135),NA(),1)</f>
        <v/>
      </c>
      <c r="Q135">
        <f>IF(INDEX('Data'!$D$6:$F$205,107,$P$5)="",NA(),IF(OR(INDEX('Data'!$D$6:$F$205,107,$P$5)&lt;C12-1.5*C16,INDEX('Data'!$D$6:$F$205,107,$P$5)&gt;C13+1.5*C16),INDEX('Data'!$D$6:$F$205,107,$P$5),NA()))</f>
        <v/>
      </c>
    </row>
    <row r="136">
      <c r="P136">
        <f>IF(ISNA(Q136),NA(),1)</f>
        <v/>
      </c>
      <c r="Q136">
        <f>IF(INDEX('Data'!$D$6:$F$205,108,$P$5)="",NA(),IF(OR(INDEX('Data'!$D$6:$F$205,108,$P$5)&lt;C12-1.5*C16,INDEX('Data'!$D$6:$F$205,108,$P$5)&gt;C13+1.5*C16),INDEX('Data'!$D$6:$F$205,108,$P$5),NA()))</f>
        <v/>
      </c>
    </row>
    <row r="137">
      <c r="P137">
        <f>IF(ISNA(Q137),NA(),1)</f>
        <v/>
      </c>
      <c r="Q137">
        <f>IF(INDEX('Data'!$D$6:$F$205,109,$P$5)="",NA(),IF(OR(INDEX('Data'!$D$6:$F$205,109,$P$5)&lt;C12-1.5*C16,INDEX('Data'!$D$6:$F$205,109,$P$5)&gt;C13+1.5*C16),INDEX('Data'!$D$6:$F$205,109,$P$5),NA()))</f>
        <v/>
      </c>
    </row>
    <row r="138">
      <c r="P138">
        <f>IF(ISNA(Q138),NA(),1)</f>
        <v/>
      </c>
      <c r="Q138">
        <f>IF(INDEX('Data'!$D$6:$F$205,110,$P$5)="",NA(),IF(OR(INDEX('Data'!$D$6:$F$205,110,$P$5)&lt;C12-1.5*C16,INDEX('Data'!$D$6:$F$205,110,$P$5)&gt;C13+1.5*C16),INDEX('Data'!$D$6:$F$205,110,$P$5),NA()))</f>
        <v/>
      </c>
    </row>
    <row r="139">
      <c r="P139">
        <f>IF(ISNA(Q139),NA(),1)</f>
        <v/>
      </c>
      <c r="Q139">
        <f>IF(INDEX('Data'!$D$6:$F$205,111,$P$5)="",NA(),IF(OR(INDEX('Data'!$D$6:$F$205,111,$P$5)&lt;C12-1.5*C16,INDEX('Data'!$D$6:$F$205,111,$P$5)&gt;C13+1.5*C16),INDEX('Data'!$D$6:$F$205,111,$P$5),NA()))</f>
        <v/>
      </c>
    </row>
    <row r="140">
      <c r="P140">
        <f>IF(ISNA(Q140),NA(),1)</f>
        <v/>
      </c>
      <c r="Q140">
        <f>IF(INDEX('Data'!$D$6:$F$205,112,$P$5)="",NA(),IF(OR(INDEX('Data'!$D$6:$F$205,112,$P$5)&lt;C12-1.5*C16,INDEX('Data'!$D$6:$F$205,112,$P$5)&gt;C13+1.5*C16),INDEX('Data'!$D$6:$F$205,112,$P$5),NA()))</f>
        <v/>
      </c>
    </row>
    <row r="141">
      <c r="P141">
        <f>IF(ISNA(Q141),NA(),1)</f>
        <v/>
      </c>
      <c r="Q141">
        <f>IF(INDEX('Data'!$D$6:$F$205,113,$P$5)="",NA(),IF(OR(INDEX('Data'!$D$6:$F$205,113,$P$5)&lt;C12-1.5*C16,INDEX('Data'!$D$6:$F$205,113,$P$5)&gt;C13+1.5*C16),INDEX('Data'!$D$6:$F$205,113,$P$5),NA()))</f>
        <v/>
      </c>
    </row>
    <row r="142">
      <c r="P142">
        <f>IF(ISNA(Q142),NA(),1)</f>
        <v/>
      </c>
      <c r="Q142">
        <f>IF(INDEX('Data'!$D$6:$F$205,114,$P$5)="",NA(),IF(OR(INDEX('Data'!$D$6:$F$205,114,$P$5)&lt;C12-1.5*C16,INDEX('Data'!$D$6:$F$205,114,$P$5)&gt;C13+1.5*C16),INDEX('Data'!$D$6:$F$205,114,$P$5),NA()))</f>
        <v/>
      </c>
    </row>
    <row r="143">
      <c r="P143">
        <f>IF(ISNA(Q143),NA(),1)</f>
        <v/>
      </c>
      <c r="Q143">
        <f>IF(INDEX('Data'!$D$6:$F$205,115,$P$5)="",NA(),IF(OR(INDEX('Data'!$D$6:$F$205,115,$P$5)&lt;C12-1.5*C16,INDEX('Data'!$D$6:$F$205,115,$P$5)&gt;C13+1.5*C16),INDEX('Data'!$D$6:$F$205,115,$P$5),NA()))</f>
        <v/>
      </c>
    </row>
    <row r="144">
      <c r="P144">
        <f>IF(ISNA(Q144),NA(),1)</f>
        <v/>
      </c>
      <c r="Q144">
        <f>IF(INDEX('Data'!$D$6:$F$205,116,$P$5)="",NA(),IF(OR(INDEX('Data'!$D$6:$F$205,116,$P$5)&lt;C12-1.5*C16,INDEX('Data'!$D$6:$F$205,116,$P$5)&gt;C13+1.5*C16),INDEX('Data'!$D$6:$F$205,116,$P$5),NA()))</f>
        <v/>
      </c>
    </row>
    <row r="145">
      <c r="P145">
        <f>IF(ISNA(Q145),NA(),1)</f>
        <v/>
      </c>
      <c r="Q145">
        <f>IF(INDEX('Data'!$D$6:$F$205,117,$P$5)="",NA(),IF(OR(INDEX('Data'!$D$6:$F$205,117,$P$5)&lt;C12-1.5*C16,INDEX('Data'!$D$6:$F$205,117,$P$5)&gt;C13+1.5*C16),INDEX('Data'!$D$6:$F$205,117,$P$5),NA()))</f>
        <v/>
      </c>
    </row>
    <row r="146">
      <c r="P146">
        <f>IF(ISNA(Q146),NA(),1)</f>
        <v/>
      </c>
      <c r="Q146">
        <f>IF(INDEX('Data'!$D$6:$F$205,118,$P$5)="",NA(),IF(OR(INDEX('Data'!$D$6:$F$205,118,$P$5)&lt;C12-1.5*C16,INDEX('Data'!$D$6:$F$205,118,$P$5)&gt;C13+1.5*C16),INDEX('Data'!$D$6:$F$205,118,$P$5),NA()))</f>
        <v/>
      </c>
    </row>
    <row r="147">
      <c r="P147">
        <f>IF(ISNA(Q147),NA(),1)</f>
        <v/>
      </c>
      <c r="Q147">
        <f>IF(INDEX('Data'!$D$6:$F$205,119,$P$5)="",NA(),IF(OR(INDEX('Data'!$D$6:$F$205,119,$P$5)&lt;C12-1.5*C16,INDEX('Data'!$D$6:$F$205,119,$P$5)&gt;C13+1.5*C16),INDEX('Data'!$D$6:$F$205,119,$P$5),NA()))</f>
        <v/>
      </c>
    </row>
    <row r="148">
      <c r="P148">
        <f>IF(ISNA(Q148),NA(),1)</f>
        <v/>
      </c>
      <c r="Q148">
        <f>IF(INDEX('Data'!$D$6:$F$205,120,$P$5)="",NA(),IF(OR(INDEX('Data'!$D$6:$F$205,120,$P$5)&lt;C12-1.5*C16,INDEX('Data'!$D$6:$F$205,120,$P$5)&gt;C13+1.5*C16),INDEX('Data'!$D$6:$F$205,120,$P$5),NA()))</f>
        <v/>
      </c>
    </row>
    <row r="149">
      <c r="P149">
        <f>IF(ISNA(Q149),NA(),1)</f>
        <v/>
      </c>
      <c r="Q149">
        <f>IF(INDEX('Data'!$D$6:$F$205,121,$P$5)="",NA(),IF(OR(INDEX('Data'!$D$6:$F$205,121,$P$5)&lt;C12-1.5*C16,INDEX('Data'!$D$6:$F$205,121,$P$5)&gt;C13+1.5*C16),INDEX('Data'!$D$6:$F$205,121,$P$5),NA()))</f>
        <v/>
      </c>
    </row>
    <row r="150">
      <c r="P150">
        <f>IF(ISNA(Q150),NA(),1)</f>
        <v/>
      </c>
      <c r="Q150">
        <f>IF(INDEX('Data'!$D$6:$F$205,122,$P$5)="",NA(),IF(OR(INDEX('Data'!$D$6:$F$205,122,$P$5)&lt;C12-1.5*C16,INDEX('Data'!$D$6:$F$205,122,$P$5)&gt;C13+1.5*C16),INDEX('Data'!$D$6:$F$205,122,$P$5),NA()))</f>
        <v/>
      </c>
    </row>
    <row r="151">
      <c r="P151">
        <f>IF(ISNA(Q151),NA(),1)</f>
        <v/>
      </c>
      <c r="Q151">
        <f>IF(INDEX('Data'!$D$6:$F$205,123,$P$5)="",NA(),IF(OR(INDEX('Data'!$D$6:$F$205,123,$P$5)&lt;C12-1.5*C16,INDEX('Data'!$D$6:$F$205,123,$P$5)&gt;C13+1.5*C16),INDEX('Data'!$D$6:$F$205,123,$P$5),NA()))</f>
        <v/>
      </c>
    </row>
    <row r="152">
      <c r="P152">
        <f>IF(ISNA(Q152),NA(),1)</f>
        <v/>
      </c>
      <c r="Q152">
        <f>IF(INDEX('Data'!$D$6:$F$205,124,$P$5)="",NA(),IF(OR(INDEX('Data'!$D$6:$F$205,124,$P$5)&lt;C12-1.5*C16,INDEX('Data'!$D$6:$F$205,124,$P$5)&gt;C13+1.5*C16),INDEX('Data'!$D$6:$F$205,124,$P$5),NA()))</f>
        <v/>
      </c>
    </row>
    <row r="153">
      <c r="P153">
        <f>IF(ISNA(Q153),NA(),1)</f>
        <v/>
      </c>
      <c r="Q153">
        <f>IF(INDEX('Data'!$D$6:$F$205,125,$P$5)="",NA(),IF(OR(INDEX('Data'!$D$6:$F$205,125,$P$5)&lt;C12-1.5*C16,INDEX('Data'!$D$6:$F$205,125,$P$5)&gt;C13+1.5*C16),INDEX('Data'!$D$6:$F$205,125,$P$5),NA()))</f>
        <v/>
      </c>
    </row>
    <row r="154">
      <c r="P154">
        <f>IF(ISNA(Q154),NA(),1)</f>
        <v/>
      </c>
      <c r="Q154">
        <f>IF(INDEX('Data'!$D$6:$F$205,126,$P$5)="",NA(),IF(OR(INDEX('Data'!$D$6:$F$205,126,$P$5)&lt;C12-1.5*C16,INDEX('Data'!$D$6:$F$205,126,$P$5)&gt;C13+1.5*C16),INDEX('Data'!$D$6:$F$205,126,$P$5),NA()))</f>
        <v/>
      </c>
    </row>
    <row r="155">
      <c r="P155">
        <f>IF(ISNA(Q155),NA(),1)</f>
        <v/>
      </c>
      <c r="Q155">
        <f>IF(INDEX('Data'!$D$6:$F$205,127,$P$5)="",NA(),IF(OR(INDEX('Data'!$D$6:$F$205,127,$P$5)&lt;C12-1.5*C16,INDEX('Data'!$D$6:$F$205,127,$P$5)&gt;C13+1.5*C16),INDEX('Data'!$D$6:$F$205,127,$P$5),NA()))</f>
        <v/>
      </c>
    </row>
    <row r="156">
      <c r="P156">
        <f>IF(ISNA(Q156),NA(),1)</f>
        <v/>
      </c>
      <c r="Q156">
        <f>IF(INDEX('Data'!$D$6:$F$205,128,$P$5)="",NA(),IF(OR(INDEX('Data'!$D$6:$F$205,128,$P$5)&lt;C12-1.5*C16,INDEX('Data'!$D$6:$F$205,128,$P$5)&gt;C13+1.5*C16),INDEX('Data'!$D$6:$F$205,128,$P$5),NA()))</f>
        <v/>
      </c>
    </row>
    <row r="157">
      <c r="P157">
        <f>IF(ISNA(Q157),NA(),1)</f>
        <v/>
      </c>
      <c r="Q157">
        <f>IF(INDEX('Data'!$D$6:$F$205,129,$P$5)="",NA(),IF(OR(INDEX('Data'!$D$6:$F$205,129,$P$5)&lt;C12-1.5*C16,INDEX('Data'!$D$6:$F$205,129,$P$5)&gt;C13+1.5*C16),INDEX('Data'!$D$6:$F$205,129,$P$5),NA()))</f>
        <v/>
      </c>
    </row>
    <row r="158">
      <c r="P158">
        <f>IF(ISNA(Q158),NA(),1)</f>
        <v/>
      </c>
      <c r="Q158">
        <f>IF(INDEX('Data'!$D$6:$F$205,130,$P$5)="",NA(),IF(OR(INDEX('Data'!$D$6:$F$205,130,$P$5)&lt;C12-1.5*C16,INDEX('Data'!$D$6:$F$205,130,$P$5)&gt;C13+1.5*C16),INDEX('Data'!$D$6:$F$205,130,$P$5),NA()))</f>
        <v/>
      </c>
    </row>
    <row r="159">
      <c r="P159">
        <f>IF(ISNA(Q159),NA(),1)</f>
        <v/>
      </c>
      <c r="Q159">
        <f>IF(INDEX('Data'!$D$6:$F$205,131,$P$5)="",NA(),IF(OR(INDEX('Data'!$D$6:$F$205,131,$P$5)&lt;C12-1.5*C16,INDEX('Data'!$D$6:$F$205,131,$P$5)&gt;C13+1.5*C16),INDEX('Data'!$D$6:$F$205,131,$P$5),NA()))</f>
        <v/>
      </c>
    </row>
    <row r="160">
      <c r="P160">
        <f>IF(ISNA(Q160),NA(),1)</f>
        <v/>
      </c>
      <c r="Q160">
        <f>IF(INDEX('Data'!$D$6:$F$205,132,$P$5)="",NA(),IF(OR(INDEX('Data'!$D$6:$F$205,132,$P$5)&lt;C12-1.5*C16,INDEX('Data'!$D$6:$F$205,132,$P$5)&gt;C13+1.5*C16),INDEX('Data'!$D$6:$F$205,132,$P$5),NA()))</f>
        <v/>
      </c>
    </row>
    <row r="161">
      <c r="P161">
        <f>IF(ISNA(Q161),NA(),1)</f>
        <v/>
      </c>
      <c r="Q161">
        <f>IF(INDEX('Data'!$D$6:$F$205,133,$P$5)="",NA(),IF(OR(INDEX('Data'!$D$6:$F$205,133,$P$5)&lt;C12-1.5*C16,INDEX('Data'!$D$6:$F$205,133,$P$5)&gt;C13+1.5*C16),INDEX('Data'!$D$6:$F$205,133,$P$5),NA()))</f>
        <v/>
      </c>
    </row>
    <row r="162">
      <c r="P162">
        <f>IF(ISNA(Q162),NA(),1)</f>
        <v/>
      </c>
      <c r="Q162">
        <f>IF(INDEX('Data'!$D$6:$F$205,134,$P$5)="",NA(),IF(OR(INDEX('Data'!$D$6:$F$205,134,$P$5)&lt;C12-1.5*C16,INDEX('Data'!$D$6:$F$205,134,$P$5)&gt;C13+1.5*C16),INDEX('Data'!$D$6:$F$205,134,$P$5),NA()))</f>
        <v/>
      </c>
    </row>
    <row r="163">
      <c r="P163">
        <f>IF(ISNA(Q163),NA(),1)</f>
        <v/>
      </c>
      <c r="Q163">
        <f>IF(INDEX('Data'!$D$6:$F$205,135,$P$5)="",NA(),IF(OR(INDEX('Data'!$D$6:$F$205,135,$P$5)&lt;C12-1.5*C16,INDEX('Data'!$D$6:$F$205,135,$P$5)&gt;C13+1.5*C16),INDEX('Data'!$D$6:$F$205,135,$P$5),NA()))</f>
        <v/>
      </c>
    </row>
    <row r="164">
      <c r="P164">
        <f>IF(ISNA(Q164),NA(),1)</f>
        <v/>
      </c>
      <c r="Q164">
        <f>IF(INDEX('Data'!$D$6:$F$205,136,$P$5)="",NA(),IF(OR(INDEX('Data'!$D$6:$F$205,136,$P$5)&lt;C12-1.5*C16,INDEX('Data'!$D$6:$F$205,136,$P$5)&gt;C13+1.5*C16),INDEX('Data'!$D$6:$F$205,136,$P$5),NA()))</f>
        <v/>
      </c>
    </row>
    <row r="165">
      <c r="P165">
        <f>IF(ISNA(Q165),NA(),1)</f>
        <v/>
      </c>
      <c r="Q165">
        <f>IF(INDEX('Data'!$D$6:$F$205,137,$P$5)="",NA(),IF(OR(INDEX('Data'!$D$6:$F$205,137,$P$5)&lt;C12-1.5*C16,INDEX('Data'!$D$6:$F$205,137,$P$5)&gt;C13+1.5*C16),INDEX('Data'!$D$6:$F$205,137,$P$5),NA()))</f>
        <v/>
      </c>
    </row>
    <row r="166">
      <c r="P166">
        <f>IF(ISNA(Q166),NA(),1)</f>
        <v/>
      </c>
      <c r="Q166">
        <f>IF(INDEX('Data'!$D$6:$F$205,138,$P$5)="",NA(),IF(OR(INDEX('Data'!$D$6:$F$205,138,$P$5)&lt;C12-1.5*C16,INDEX('Data'!$D$6:$F$205,138,$P$5)&gt;C13+1.5*C16),INDEX('Data'!$D$6:$F$205,138,$P$5),NA()))</f>
        <v/>
      </c>
    </row>
    <row r="167">
      <c r="P167">
        <f>IF(ISNA(Q167),NA(),1)</f>
        <v/>
      </c>
      <c r="Q167">
        <f>IF(INDEX('Data'!$D$6:$F$205,139,$P$5)="",NA(),IF(OR(INDEX('Data'!$D$6:$F$205,139,$P$5)&lt;C12-1.5*C16,INDEX('Data'!$D$6:$F$205,139,$P$5)&gt;C13+1.5*C16),INDEX('Data'!$D$6:$F$205,139,$P$5),NA()))</f>
        <v/>
      </c>
    </row>
    <row r="168">
      <c r="P168">
        <f>IF(ISNA(Q168),NA(),1)</f>
        <v/>
      </c>
      <c r="Q168">
        <f>IF(INDEX('Data'!$D$6:$F$205,140,$P$5)="",NA(),IF(OR(INDEX('Data'!$D$6:$F$205,140,$P$5)&lt;C12-1.5*C16,INDEX('Data'!$D$6:$F$205,140,$P$5)&gt;C13+1.5*C16),INDEX('Data'!$D$6:$F$205,140,$P$5),NA()))</f>
        <v/>
      </c>
    </row>
    <row r="169">
      <c r="P169">
        <f>IF(ISNA(Q169),NA(),1)</f>
        <v/>
      </c>
      <c r="Q169">
        <f>IF(INDEX('Data'!$D$6:$F$205,141,$P$5)="",NA(),IF(OR(INDEX('Data'!$D$6:$F$205,141,$P$5)&lt;C12-1.5*C16,INDEX('Data'!$D$6:$F$205,141,$P$5)&gt;C13+1.5*C16),INDEX('Data'!$D$6:$F$205,141,$P$5),NA()))</f>
        <v/>
      </c>
    </row>
    <row r="170">
      <c r="P170">
        <f>IF(ISNA(Q170),NA(),1)</f>
        <v/>
      </c>
      <c r="Q170">
        <f>IF(INDEX('Data'!$D$6:$F$205,142,$P$5)="",NA(),IF(OR(INDEX('Data'!$D$6:$F$205,142,$P$5)&lt;C12-1.5*C16,INDEX('Data'!$D$6:$F$205,142,$P$5)&gt;C13+1.5*C16),INDEX('Data'!$D$6:$F$205,142,$P$5),NA()))</f>
        <v/>
      </c>
    </row>
    <row r="171">
      <c r="P171">
        <f>IF(ISNA(Q171),NA(),1)</f>
        <v/>
      </c>
      <c r="Q171">
        <f>IF(INDEX('Data'!$D$6:$F$205,143,$P$5)="",NA(),IF(OR(INDEX('Data'!$D$6:$F$205,143,$P$5)&lt;C12-1.5*C16,INDEX('Data'!$D$6:$F$205,143,$P$5)&gt;C13+1.5*C16),INDEX('Data'!$D$6:$F$205,143,$P$5),NA()))</f>
        <v/>
      </c>
    </row>
    <row r="172">
      <c r="P172">
        <f>IF(ISNA(Q172),NA(),1)</f>
        <v/>
      </c>
      <c r="Q172">
        <f>IF(INDEX('Data'!$D$6:$F$205,144,$P$5)="",NA(),IF(OR(INDEX('Data'!$D$6:$F$205,144,$P$5)&lt;C12-1.5*C16,INDEX('Data'!$D$6:$F$205,144,$P$5)&gt;C13+1.5*C16),INDEX('Data'!$D$6:$F$205,144,$P$5),NA()))</f>
        <v/>
      </c>
    </row>
    <row r="173">
      <c r="P173">
        <f>IF(ISNA(Q173),NA(),1)</f>
        <v/>
      </c>
      <c r="Q173">
        <f>IF(INDEX('Data'!$D$6:$F$205,145,$P$5)="",NA(),IF(OR(INDEX('Data'!$D$6:$F$205,145,$P$5)&lt;C12-1.5*C16,INDEX('Data'!$D$6:$F$205,145,$P$5)&gt;C13+1.5*C16),INDEX('Data'!$D$6:$F$205,145,$P$5),NA()))</f>
        <v/>
      </c>
    </row>
    <row r="174">
      <c r="P174">
        <f>IF(ISNA(Q174),NA(),1)</f>
        <v/>
      </c>
      <c r="Q174">
        <f>IF(INDEX('Data'!$D$6:$F$205,146,$P$5)="",NA(),IF(OR(INDEX('Data'!$D$6:$F$205,146,$P$5)&lt;C12-1.5*C16,INDEX('Data'!$D$6:$F$205,146,$P$5)&gt;C13+1.5*C16),INDEX('Data'!$D$6:$F$205,146,$P$5),NA()))</f>
        <v/>
      </c>
    </row>
    <row r="175">
      <c r="P175">
        <f>IF(ISNA(Q175),NA(),1)</f>
        <v/>
      </c>
      <c r="Q175">
        <f>IF(INDEX('Data'!$D$6:$F$205,147,$P$5)="",NA(),IF(OR(INDEX('Data'!$D$6:$F$205,147,$P$5)&lt;C12-1.5*C16,INDEX('Data'!$D$6:$F$205,147,$P$5)&gt;C13+1.5*C16),INDEX('Data'!$D$6:$F$205,147,$P$5),NA()))</f>
        <v/>
      </c>
    </row>
    <row r="176">
      <c r="P176">
        <f>IF(ISNA(Q176),NA(),1)</f>
        <v/>
      </c>
      <c r="Q176">
        <f>IF(INDEX('Data'!$D$6:$F$205,148,$P$5)="",NA(),IF(OR(INDEX('Data'!$D$6:$F$205,148,$P$5)&lt;C12-1.5*C16,INDEX('Data'!$D$6:$F$205,148,$P$5)&gt;C13+1.5*C16),INDEX('Data'!$D$6:$F$205,148,$P$5),NA()))</f>
        <v/>
      </c>
    </row>
    <row r="177">
      <c r="P177">
        <f>IF(ISNA(Q177),NA(),1)</f>
        <v/>
      </c>
      <c r="Q177">
        <f>IF(INDEX('Data'!$D$6:$F$205,149,$P$5)="",NA(),IF(OR(INDEX('Data'!$D$6:$F$205,149,$P$5)&lt;C12-1.5*C16,INDEX('Data'!$D$6:$F$205,149,$P$5)&gt;C13+1.5*C16),INDEX('Data'!$D$6:$F$205,149,$P$5),NA()))</f>
        <v/>
      </c>
    </row>
    <row r="178">
      <c r="P178">
        <f>IF(ISNA(Q178),NA(),1)</f>
        <v/>
      </c>
      <c r="Q178">
        <f>IF(INDEX('Data'!$D$6:$F$205,150,$P$5)="",NA(),IF(OR(INDEX('Data'!$D$6:$F$205,150,$P$5)&lt;C12-1.5*C16,INDEX('Data'!$D$6:$F$205,150,$P$5)&gt;C13+1.5*C16),INDEX('Data'!$D$6:$F$205,150,$P$5),NA()))</f>
        <v/>
      </c>
    </row>
    <row r="179">
      <c r="P179">
        <f>IF(ISNA(Q179),NA(),1)</f>
        <v/>
      </c>
      <c r="Q179">
        <f>IF(INDEX('Data'!$D$6:$F$205,151,$P$5)="",NA(),IF(OR(INDEX('Data'!$D$6:$F$205,151,$P$5)&lt;C12-1.5*C16,INDEX('Data'!$D$6:$F$205,151,$P$5)&gt;C13+1.5*C16),INDEX('Data'!$D$6:$F$205,151,$P$5),NA()))</f>
        <v/>
      </c>
    </row>
    <row r="180">
      <c r="P180">
        <f>IF(ISNA(Q180),NA(),1)</f>
        <v/>
      </c>
      <c r="Q180">
        <f>IF(INDEX('Data'!$D$6:$F$205,152,$P$5)="",NA(),IF(OR(INDEX('Data'!$D$6:$F$205,152,$P$5)&lt;C12-1.5*C16,INDEX('Data'!$D$6:$F$205,152,$P$5)&gt;C13+1.5*C16),INDEX('Data'!$D$6:$F$205,152,$P$5),NA()))</f>
        <v/>
      </c>
    </row>
    <row r="181">
      <c r="P181">
        <f>IF(ISNA(Q181),NA(),1)</f>
        <v/>
      </c>
      <c r="Q181">
        <f>IF(INDEX('Data'!$D$6:$F$205,153,$P$5)="",NA(),IF(OR(INDEX('Data'!$D$6:$F$205,153,$P$5)&lt;C12-1.5*C16,INDEX('Data'!$D$6:$F$205,153,$P$5)&gt;C13+1.5*C16),INDEX('Data'!$D$6:$F$205,153,$P$5),NA()))</f>
        <v/>
      </c>
    </row>
    <row r="182">
      <c r="P182">
        <f>IF(ISNA(Q182),NA(),1)</f>
        <v/>
      </c>
      <c r="Q182">
        <f>IF(INDEX('Data'!$D$6:$F$205,154,$P$5)="",NA(),IF(OR(INDEX('Data'!$D$6:$F$205,154,$P$5)&lt;C12-1.5*C16,INDEX('Data'!$D$6:$F$205,154,$P$5)&gt;C13+1.5*C16),INDEX('Data'!$D$6:$F$205,154,$P$5),NA()))</f>
        <v/>
      </c>
    </row>
    <row r="183">
      <c r="P183">
        <f>IF(ISNA(Q183),NA(),1)</f>
        <v/>
      </c>
      <c r="Q183">
        <f>IF(INDEX('Data'!$D$6:$F$205,155,$P$5)="",NA(),IF(OR(INDEX('Data'!$D$6:$F$205,155,$P$5)&lt;C12-1.5*C16,INDEX('Data'!$D$6:$F$205,155,$P$5)&gt;C13+1.5*C16),INDEX('Data'!$D$6:$F$205,155,$P$5),NA()))</f>
        <v/>
      </c>
    </row>
    <row r="184">
      <c r="P184">
        <f>IF(ISNA(Q184),NA(),1)</f>
        <v/>
      </c>
      <c r="Q184">
        <f>IF(INDEX('Data'!$D$6:$F$205,156,$P$5)="",NA(),IF(OR(INDEX('Data'!$D$6:$F$205,156,$P$5)&lt;C12-1.5*C16,INDEX('Data'!$D$6:$F$205,156,$P$5)&gt;C13+1.5*C16),INDEX('Data'!$D$6:$F$205,156,$P$5),NA()))</f>
        <v/>
      </c>
    </row>
    <row r="185">
      <c r="P185">
        <f>IF(ISNA(Q185),NA(),1)</f>
        <v/>
      </c>
      <c r="Q185">
        <f>IF(INDEX('Data'!$D$6:$F$205,157,$P$5)="",NA(),IF(OR(INDEX('Data'!$D$6:$F$205,157,$P$5)&lt;C12-1.5*C16,INDEX('Data'!$D$6:$F$205,157,$P$5)&gt;C13+1.5*C16),INDEX('Data'!$D$6:$F$205,157,$P$5),NA()))</f>
        <v/>
      </c>
    </row>
    <row r="186">
      <c r="P186">
        <f>IF(ISNA(Q186),NA(),1)</f>
        <v/>
      </c>
      <c r="Q186">
        <f>IF(INDEX('Data'!$D$6:$F$205,158,$P$5)="",NA(),IF(OR(INDEX('Data'!$D$6:$F$205,158,$P$5)&lt;C12-1.5*C16,INDEX('Data'!$D$6:$F$205,158,$P$5)&gt;C13+1.5*C16),INDEX('Data'!$D$6:$F$205,158,$P$5),NA()))</f>
        <v/>
      </c>
    </row>
    <row r="187">
      <c r="P187">
        <f>IF(ISNA(Q187),NA(),1)</f>
        <v/>
      </c>
      <c r="Q187">
        <f>IF(INDEX('Data'!$D$6:$F$205,159,$P$5)="",NA(),IF(OR(INDEX('Data'!$D$6:$F$205,159,$P$5)&lt;C12-1.5*C16,INDEX('Data'!$D$6:$F$205,159,$P$5)&gt;C13+1.5*C16),INDEX('Data'!$D$6:$F$205,159,$P$5),NA()))</f>
        <v/>
      </c>
    </row>
    <row r="188">
      <c r="P188">
        <f>IF(ISNA(Q188),NA(),1)</f>
        <v/>
      </c>
      <c r="Q188">
        <f>IF(INDEX('Data'!$D$6:$F$205,160,$P$5)="",NA(),IF(OR(INDEX('Data'!$D$6:$F$205,160,$P$5)&lt;C12-1.5*C16,INDEX('Data'!$D$6:$F$205,160,$P$5)&gt;C13+1.5*C16),INDEX('Data'!$D$6:$F$205,160,$P$5),NA()))</f>
        <v/>
      </c>
    </row>
    <row r="189">
      <c r="P189">
        <f>IF(ISNA(Q189),NA(),1)</f>
        <v/>
      </c>
      <c r="Q189">
        <f>IF(INDEX('Data'!$D$6:$F$205,161,$P$5)="",NA(),IF(OR(INDEX('Data'!$D$6:$F$205,161,$P$5)&lt;C12-1.5*C16,INDEX('Data'!$D$6:$F$205,161,$P$5)&gt;C13+1.5*C16),INDEX('Data'!$D$6:$F$205,161,$P$5),NA()))</f>
        <v/>
      </c>
    </row>
    <row r="190">
      <c r="P190">
        <f>IF(ISNA(Q190),NA(),1)</f>
        <v/>
      </c>
      <c r="Q190">
        <f>IF(INDEX('Data'!$D$6:$F$205,162,$P$5)="",NA(),IF(OR(INDEX('Data'!$D$6:$F$205,162,$P$5)&lt;C12-1.5*C16,INDEX('Data'!$D$6:$F$205,162,$P$5)&gt;C13+1.5*C16),INDEX('Data'!$D$6:$F$205,162,$P$5),NA()))</f>
        <v/>
      </c>
    </row>
    <row r="191">
      <c r="P191">
        <f>IF(ISNA(Q191),NA(),1)</f>
        <v/>
      </c>
      <c r="Q191">
        <f>IF(INDEX('Data'!$D$6:$F$205,163,$P$5)="",NA(),IF(OR(INDEX('Data'!$D$6:$F$205,163,$P$5)&lt;C12-1.5*C16,INDEX('Data'!$D$6:$F$205,163,$P$5)&gt;C13+1.5*C16),INDEX('Data'!$D$6:$F$205,163,$P$5),NA()))</f>
        <v/>
      </c>
    </row>
    <row r="192">
      <c r="P192">
        <f>IF(ISNA(Q192),NA(),1)</f>
        <v/>
      </c>
      <c r="Q192">
        <f>IF(INDEX('Data'!$D$6:$F$205,164,$P$5)="",NA(),IF(OR(INDEX('Data'!$D$6:$F$205,164,$P$5)&lt;C12-1.5*C16,INDEX('Data'!$D$6:$F$205,164,$P$5)&gt;C13+1.5*C16),INDEX('Data'!$D$6:$F$205,164,$P$5),NA()))</f>
        <v/>
      </c>
    </row>
    <row r="193">
      <c r="P193">
        <f>IF(ISNA(Q193),NA(),1)</f>
        <v/>
      </c>
      <c r="Q193">
        <f>IF(INDEX('Data'!$D$6:$F$205,165,$P$5)="",NA(),IF(OR(INDEX('Data'!$D$6:$F$205,165,$P$5)&lt;C12-1.5*C16,INDEX('Data'!$D$6:$F$205,165,$P$5)&gt;C13+1.5*C16),INDEX('Data'!$D$6:$F$205,165,$P$5),NA()))</f>
        <v/>
      </c>
    </row>
    <row r="194">
      <c r="P194">
        <f>IF(ISNA(Q194),NA(),1)</f>
        <v/>
      </c>
      <c r="Q194">
        <f>IF(INDEX('Data'!$D$6:$F$205,166,$P$5)="",NA(),IF(OR(INDEX('Data'!$D$6:$F$205,166,$P$5)&lt;C12-1.5*C16,INDEX('Data'!$D$6:$F$205,166,$P$5)&gt;C13+1.5*C16),INDEX('Data'!$D$6:$F$205,166,$P$5),NA()))</f>
        <v/>
      </c>
    </row>
    <row r="195">
      <c r="P195">
        <f>IF(ISNA(Q195),NA(),1)</f>
        <v/>
      </c>
      <c r="Q195">
        <f>IF(INDEX('Data'!$D$6:$F$205,167,$P$5)="",NA(),IF(OR(INDEX('Data'!$D$6:$F$205,167,$P$5)&lt;C12-1.5*C16,INDEX('Data'!$D$6:$F$205,167,$P$5)&gt;C13+1.5*C16),INDEX('Data'!$D$6:$F$205,167,$P$5),NA()))</f>
        <v/>
      </c>
    </row>
    <row r="196">
      <c r="P196">
        <f>IF(ISNA(Q196),NA(),1)</f>
        <v/>
      </c>
      <c r="Q196">
        <f>IF(INDEX('Data'!$D$6:$F$205,168,$P$5)="",NA(),IF(OR(INDEX('Data'!$D$6:$F$205,168,$P$5)&lt;C12-1.5*C16,INDEX('Data'!$D$6:$F$205,168,$P$5)&gt;C13+1.5*C16),INDEX('Data'!$D$6:$F$205,168,$P$5),NA()))</f>
        <v/>
      </c>
    </row>
    <row r="197">
      <c r="P197">
        <f>IF(ISNA(Q197),NA(),1)</f>
        <v/>
      </c>
      <c r="Q197">
        <f>IF(INDEX('Data'!$D$6:$F$205,169,$P$5)="",NA(),IF(OR(INDEX('Data'!$D$6:$F$205,169,$P$5)&lt;C12-1.5*C16,INDEX('Data'!$D$6:$F$205,169,$P$5)&gt;C13+1.5*C16),INDEX('Data'!$D$6:$F$205,169,$P$5),NA()))</f>
        <v/>
      </c>
    </row>
    <row r="198">
      <c r="P198">
        <f>IF(ISNA(Q198),NA(),1)</f>
        <v/>
      </c>
      <c r="Q198">
        <f>IF(INDEX('Data'!$D$6:$F$205,170,$P$5)="",NA(),IF(OR(INDEX('Data'!$D$6:$F$205,170,$P$5)&lt;C12-1.5*C16,INDEX('Data'!$D$6:$F$205,170,$P$5)&gt;C13+1.5*C16),INDEX('Data'!$D$6:$F$205,170,$P$5),NA()))</f>
        <v/>
      </c>
    </row>
    <row r="199">
      <c r="P199">
        <f>IF(ISNA(Q199),NA(),1)</f>
        <v/>
      </c>
      <c r="Q199">
        <f>IF(INDEX('Data'!$D$6:$F$205,171,$P$5)="",NA(),IF(OR(INDEX('Data'!$D$6:$F$205,171,$P$5)&lt;C12-1.5*C16,INDEX('Data'!$D$6:$F$205,171,$P$5)&gt;C13+1.5*C16),INDEX('Data'!$D$6:$F$205,171,$P$5),NA()))</f>
        <v/>
      </c>
    </row>
    <row r="200">
      <c r="P200">
        <f>IF(ISNA(Q200),NA(),1)</f>
        <v/>
      </c>
      <c r="Q200">
        <f>IF(INDEX('Data'!$D$6:$F$205,172,$P$5)="",NA(),IF(OR(INDEX('Data'!$D$6:$F$205,172,$P$5)&lt;C12-1.5*C16,INDEX('Data'!$D$6:$F$205,172,$P$5)&gt;C13+1.5*C16),INDEX('Data'!$D$6:$F$205,172,$P$5),NA()))</f>
        <v/>
      </c>
    </row>
    <row r="201">
      <c r="P201">
        <f>IF(ISNA(Q201),NA(),1)</f>
        <v/>
      </c>
      <c r="Q201">
        <f>IF(INDEX('Data'!$D$6:$F$205,173,$P$5)="",NA(),IF(OR(INDEX('Data'!$D$6:$F$205,173,$P$5)&lt;C12-1.5*C16,INDEX('Data'!$D$6:$F$205,173,$P$5)&gt;C13+1.5*C16),INDEX('Data'!$D$6:$F$205,173,$P$5),NA()))</f>
        <v/>
      </c>
    </row>
    <row r="202">
      <c r="P202">
        <f>IF(ISNA(Q202),NA(),1)</f>
        <v/>
      </c>
      <c r="Q202">
        <f>IF(INDEX('Data'!$D$6:$F$205,174,$P$5)="",NA(),IF(OR(INDEX('Data'!$D$6:$F$205,174,$P$5)&lt;C12-1.5*C16,INDEX('Data'!$D$6:$F$205,174,$P$5)&gt;C13+1.5*C16),INDEX('Data'!$D$6:$F$205,174,$P$5),NA()))</f>
        <v/>
      </c>
    </row>
    <row r="203">
      <c r="P203">
        <f>IF(ISNA(Q203),NA(),1)</f>
        <v/>
      </c>
      <c r="Q203">
        <f>IF(INDEX('Data'!$D$6:$F$205,175,$P$5)="",NA(),IF(OR(INDEX('Data'!$D$6:$F$205,175,$P$5)&lt;C12-1.5*C16,INDEX('Data'!$D$6:$F$205,175,$P$5)&gt;C13+1.5*C16),INDEX('Data'!$D$6:$F$205,175,$P$5),NA()))</f>
        <v/>
      </c>
    </row>
    <row r="204">
      <c r="P204">
        <f>IF(ISNA(Q204),NA(),1)</f>
        <v/>
      </c>
      <c r="Q204">
        <f>IF(INDEX('Data'!$D$6:$F$205,176,$P$5)="",NA(),IF(OR(INDEX('Data'!$D$6:$F$205,176,$P$5)&lt;C12-1.5*C16,INDEX('Data'!$D$6:$F$205,176,$P$5)&gt;C13+1.5*C16),INDEX('Data'!$D$6:$F$205,176,$P$5),NA()))</f>
        <v/>
      </c>
    </row>
    <row r="205">
      <c r="P205">
        <f>IF(ISNA(Q205),NA(),1)</f>
        <v/>
      </c>
      <c r="Q205">
        <f>IF(INDEX('Data'!$D$6:$F$205,177,$P$5)="",NA(),IF(OR(INDEX('Data'!$D$6:$F$205,177,$P$5)&lt;C12-1.5*C16,INDEX('Data'!$D$6:$F$205,177,$P$5)&gt;C13+1.5*C16),INDEX('Data'!$D$6:$F$205,177,$P$5),NA()))</f>
        <v/>
      </c>
    </row>
    <row r="206">
      <c r="P206">
        <f>IF(ISNA(Q206),NA(),1)</f>
        <v/>
      </c>
      <c r="Q206">
        <f>IF(INDEX('Data'!$D$6:$F$205,178,$P$5)="",NA(),IF(OR(INDEX('Data'!$D$6:$F$205,178,$P$5)&lt;C12-1.5*C16,INDEX('Data'!$D$6:$F$205,178,$P$5)&gt;C13+1.5*C16),INDEX('Data'!$D$6:$F$205,178,$P$5),NA()))</f>
        <v/>
      </c>
    </row>
    <row r="207">
      <c r="P207">
        <f>IF(ISNA(Q207),NA(),1)</f>
        <v/>
      </c>
      <c r="Q207">
        <f>IF(INDEX('Data'!$D$6:$F$205,179,$P$5)="",NA(),IF(OR(INDEX('Data'!$D$6:$F$205,179,$P$5)&lt;C12-1.5*C16,INDEX('Data'!$D$6:$F$205,179,$P$5)&gt;C13+1.5*C16),INDEX('Data'!$D$6:$F$205,179,$P$5),NA()))</f>
        <v/>
      </c>
    </row>
    <row r="208">
      <c r="P208">
        <f>IF(ISNA(Q208),NA(),1)</f>
        <v/>
      </c>
      <c r="Q208">
        <f>IF(INDEX('Data'!$D$6:$F$205,180,$P$5)="",NA(),IF(OR(INDEX('Data'!$D$6:$F$205,180,$P$5)&lt;C12-1.5*C16,INDEX('Data'!$D$6:$F$205,180,$P$5)&gt;C13+1.5*C16),INDEX('Data'!$D$6:$F$205,180,$P$5),NA()))</f>
        <v/>
      </c>
    </row>
    <row r="209">
      <c r="P209">
        <f>IF(ISNA(Q209),NA(),1)</f>
        <v/>
      </c>
      <c r="Q209">
        <f>IF(INDEX('Data'!$D$6:$F$205,181,$P$5)="",NA(),IF(OR(INDEX('Data'!$D$6:$F$205,181,$P$5)&lt;C12-1.5*C16,INDEX('Data'!$D$6:$F$205,181,$P$5)&gt;C13+1.5*C16),INDEX('Data'!$D$6:$F$205,181,$P$5),NA()))</f>
        <v/>
      </c>
    </row>
    <row r="210">
      <c r="P210">
        <f>IF(ISNA(Q210),NA(),1)</f>
        <v/>
      </c>
      <c r="Q210">
        <f>IF(INDEX('Data'!$D$6:$F$205,182,$P$5)="",NA(),IF(OR(INDEX('Data'!$D$6:$F$205,182,$P$5)&lt;C12-1.5*C16,INDEX('Data'!$D$6:$F$205,182,$P$5)&gt;C13+1.5*C16),INDEX('Data'!$D$6:$F$205,182,$P$5),NA()))</f>
        <v/>
      </c>
    </row>
    <row r="211">
      <c r="P211">
        <f>IF(ISNA(Q211),NA(),1)</f>
        <v/>
      </c>
      <c r="Q211">
        <f>IF(INDEX('Data'!$D$6:$F$205,183,$P$5)="",NA(),IF(OR(INDEX('Data'!$D$6:$F$205,183,$P$5)&lt;C12-1.5*C16,INDEX('Data'!$D$6:$F$205,183,$P$5)&gt;C13+1.5*C16),INDEX('Data'!$D$6:$F$205,183,$P$5),NA()))</f>
        <v/>
      </c>
    </row>
    <row r="212">
      <c r="P212">
        <f>IF(ISNA(Q212),NA(),1)</f>
        <v/>
      </c>
      <c r="Q212">
        <f>IF(INDEX('Data'!$D$6:$F$205,184,$P$5)="",NA(),IF(OR(INDEX('Data'!$D$6:$F$205,184,$P$5)&lt;C12-1.5*C16,INDEX('Data'!$D$6:$F$205,184,$P$5)&gt;C13+1.5*C16),INDEX('Data'!$D$6:$F$205,184,$P$5),NA()))</f>
        <v/>
      </c>
    </row>
    <row r="213">
      <c r="P213">
        <f>IF(ISNA(Q213),NA(),1)</f>
        <v/>
      </c>
      <c r="Q213">
        <f>IF(INDEX('Data'!$D$6:$F$205,185,$P$5)="",NA(),IF(OR(INDEX('Data'!$D$6:$F$205,185,$P$5)&lt;C12-1.5*C16,INDEX('Data'!$D$6:$F$205,185,$P$5)&gt;C13+1.5*C16),INDEX('Data'!$D$6:$F$205,185,$P$5),NA()))</f>
        <v/>
      </c>
    </row>
    <row r="214">
      <c r="P214">
        <f>IF(ISNA(Q214),NA(),1)</f>
        <v/>
      </c>
      <c r="Q214">
        <f>IF(INDEX('Data'!$D$6:$F$205,186,$P$5)="",NA(),IF(OR(INDEX('Data'!$D$6:$F$205,186,$P$5)&lt;C12-1.5*C16,INDEX('Data'!$D$6:$F$205,186,$P$5)&gt;C13+1.5*C16),INDEX('Data'!$D$6:$F$205,186,$P$5),NA()))</f>
        <v/>
      </c>
    </row>
    <row r="215">
      <c r="P215">
        <f>IF(ISNA(Q215),NA(),1)</f>
        <v/>
      </c>
      <c r="Q215">
        <f>IF(INDEX('Data'!$D$6:$F$205,187,$P$5)="",NA(),IF(OR(INDEX('Data'!$D$6:$F$205,187,$P$5)&lt;C12-1.5*C16,INDEX('Data'!$D$6:$F$205,187,$P$5)&gt;C13+1.5*C16),INDEX('Data'!$D$6:$F$205,187,$P$5),NA()))</f>
        <v/>
      </c>
    </row>
    <row r="216">
      <c r="P216">
        <f>IF(ISNA(Q216),NA(),1)</f>
        <v/>
      </c>
      <c r="Q216">
        <f>IF(INDEX('Data'!$D$6:$F$205,188,$P$5)="",NA(),IF(OR(INDEX('Data'!$D$6:$F$205,188,$P$5)&lt;C12-1.5*C16,INDEX('Data'!$D$6:$F$205,188,$P$5)&gt;C13+1.5*C16),INDEX('Data'!$D$6:$F$205,188,$P$5),NA()))</f>
        <v/>
      </c>
    </row>
    <row r="217">
      <c r="P217">
        <f>IF(ISNA(Q217),NA(),1)</f>
        <v/>
      </c>
      <c r="Q217">
        <f>IF(INDEX('Data'!$D$6:$F$205,189,$P$5)="",NA(),IF(OR(INDEX('Data'!$D$6:$F$205,189,$P$5)&lt;C12-1.5*C16,INDEX('Data'!$D$6:$F$205,189,$P$5)&gt;C13+1.5*C16),INDEX('Data'!$D$6:$F$205,189,$P$5),NA()))</f>
        <v/>
      </c>
    </row>
    <row r="218">
      <c r="P218">
        <f>IF(ISNA(Q218),NA(),1)</f>
        <v/>
      </c>
      <c r="Q218">
        <f>IF(INDEX('Data'!$D$6:$F$205,190,$P$5)="",NA(),IF(OR(INDEX('Data'!$D$6:$F$205,190,$P$5)&lt;C12-1.5*C16,INDEX('Data'!$D$6:$F$205,190,$P$5)&gt;C13+1.5*C16),INDEX('Data'!$D$6:$F$205,190,$P$5),NA()))</f>
        <v/>
      </c>
    </row>
    <row r="219">
      <c r="P219">
        <f>IF(ISNA(Q219),NA(),1)</f>
        <v/>
      </c>
      <c r="Q219">
        <f>IF(INDEX('Data'!$D$6:$F$205,191,$P$5)="",NA(),IF(OR(INDEX('Data'!$D$6:$F$205,191,$P$5)&lt;C12-1.5*C16,INDEX('Data'!$D$6:$F$205,191,$P$5)&gt;C13+1.5*C16),INDEX('Data'!$D$6:$F$205,191,$P$5),NA()))</f>
        <v/>
      </c>
    </row>
    <row r="220">
      <c r="P220">
        <f>IF(ISNA(Q220),NA(),1)</f>
        <v/>
      </c>
      <c r="Q220">
        <f>IF(INDEX('Data'!$D$6:$F$205,192,$P$5)="",NA(),IF(OR(INDEX('Data'!$D$6:$F$205,192,$P$5)&lt;C12-1.5*C16,INDEX('Data'!$D$6:$F$205,192,$P$5)&gt;C13+1.5*C16),INDEX('Data'!$D$6:$F$205,192,$P$5),NA()))</f>
        <v/>
      </c>
    </row>
    <row r="221">
      <c r="P221">
        <f>IF(ISNA(Q221),NA(),1)</f>
        <v/>
      </c>
      <c r="Q221">
        <f>IF(INDEX('Data'!$D$6:$F$205,193,$P$5)="",NA(),IF(OR(INDEX('Data'!$D$6:$F$205,193,$P$5)&lt;C12-1.5*C16,INDEX('Data'!$D$6:$F$205,193,$P$5)&gt;C13+1.5*C16),INDEX('Data'!$D$6:$F$205,193,$P$5),NA()))</f>
        <v/>
      </c>
    </row>
    <row r="222">
      <c r="P222">
        <f>IF(ISNA(Q222),NA(),1)</f>
        <v/>
      </c>
      <c r="Q222">
        <f>IF(INDEX('Data'!$D$6:$F$205,194,$P$5)="",NA(),IF(OR(INDEX('Data'!$D$6:$F$205,194,$P$5)&lt;C12-1.5*C16,INDEX('Data'!$D$6:$F$205,194,$P$5)&gt;C13+1.5*C16),INDEX('Data'!$D$6:$F$205,194,$P$5),NA()))</f>
        <v/>
      </c>
    </row>
    <row r="223">
      <c r="P223">
        <f>IF(ISNA(Q223),NA(),1)</f>
        <v/>
      </c>
      <c r="Q223">
        <f>IF(INDEX('Data'!$D$6:$F$205,195,$P$5)="",NA(),IF(OR(INDEX('Data'!$D$6:$F$205,195,$P$5)&lt;C12-1.5*C16,INDEX('Data'!$D$6:$F$205,195,$P$5)&gt;C13+1.5*C16),INDEX('Data'!$D$6:$F$205,195,$P$5),NA()))</f>
        <v/>
      </c>
    </row>
    <row r="224">
      <c r="P224">
        <f>IF(ISNA(Q224),NA(),1)</f>
        <v/>
      </c>
      <c r="Q224">
        <f>IF(INDEX('Data'!$D$6:$F$205,196,$P$5)="",NA(),IF(OR(INDEX('Data'!$D$6:$F$205,196,$P$5)&lt;C12-1.5*C16,INDEX('Data'!$D$6:$F$205,196,$P$5)&gt;C13+1.5*C16),INDEX('Data'!$D$6:$F$205,196,$P$5),NA()))</f>
        <v/>
      </c>
    </row>
    <row r="225">
      <c r="P225">
        <f>IF(ISNA(Q225),NA(),1)</f>
        <v/>
      </c>
      <c r="Q225">
        <f>IF(INDEX('Data'!$D$6:$F$205,197,$P$5)="",NA(),IF(OR(INDEX('Data'!$D$6:$F$205,197,$P$5)&lt;C12-1.5*C16,INDEX('Data'!$D$6:$F$205,197,$P$5)&gt;C13+1.5*C16),INDEX('Data'!$D$6:$F$205,197,$P$5),NA()))</f>
        <v/>
      </c>
    </row>
    <row r="226">
      <c r="P226">
        <f>IF(ISNA(Q226),NA(),1)</f>
        <v/>
      </c>
      <c r="Q226">
        <f>IF(INDEX('Data'!$D$6:$F$205,198,$P$5)="",NA(),IF(OR(INDEX('Data'!$D$6:$F$205,198,$P$5)&lt;C12-1.5*C16,INDEX('Data'!$D$6:$F$205,198,$P$5)&gt;C13+1.5*C16),INDEX('Data'!$D$6:$F$205,198,$P$5),NA()))</f>
        <v/>
      </c>
    </row>
    <row r="227">
      <c r="P227">
        <f>IF(ISNA(Q227),NA(),1)</f>
        <v/>
      </c>
      <c r="Q227">
        <f>IF(INDEX('Data'!$D$6:$F$205,199,$P$5)="",NA(),IF(OR(INDEX('Data'!$D$6:$F$205,199,$P$5)&lt;C12-1.5*C16,INDEX('Data'!$D$6:$F$205,199,$P$5)&gt;C13+1.5*C16),INDEX('Data'!$D$6:$F$205,199,$P$5),NA()))</f>
        <v/>
      </c>
    </row>
    <row r="228">
      <c r="P228">
        <f>IF(ISNA(Q228),NA(),1)</f>
        <v/>
      </c>
      <c r="Q228">
        <f>IF(INDEX('Data'!$D$6:$F$205,200,$P$5)="",NA(),IF(OR(INDEX('Data'!$D$6:$F$205,200,$P$5)&lt;C12-1.5*C16,INDEX('Data'!$D$6:$F$205,200,$P$5)&gt;C13+1.5*C16),INDEX('Data'!$D$6:$F$205,200,$P$5),NA()))</f>
        <v/>
      </c>
    </row>
  </sheetData>
  <mergeCells count="2">
    <mergeCell ref="B24:C24"/>
    <mergeCell ref="B26:C26"/>
  </mergeCells>
  <dataValidations count="1">
    <dataValidation sqref="C5" showDropDown="0" showInputMessage="0" showErrorMessage="0" allowBlank="1" type="list">
      <formula1>='Data'!$D$5:$F$5</formula1>
    </dataValidation>
  </dataValidations>
  <pageMargins left="0.75" right="0.75" top="1" bottom="1" header="0.5" footer="0.5"/>
  <pageSetup orientation="landscape" fitToHeight="1" fitToWidth="1"/>
  <headerFooter>
    <oddHeader/>
    <oddFooter>&amp;LSKILLAGILITY · skillagility.com&amp;R&amp;P / &amp;N</oddFooter>
    <evenHeader/>
    <evenFooter/>
    <firstHeader/>
    <firstFooter/>
  </headerFooter>
  <drawing xmlns:r="http://schemas.openxmlformats.org/officeDocument/2006/relationships" r:id="rId1"/>
</worksheet>
</file>

<file path=xl/worksheets/sheet4.xml><?xml version="1.0" encoding="utf-8"?>
<worksheet xmlns="http://schemas.openxmlformats.org/spreadsheetml/2006/main">
  <sheetPr>
    <tabColor rgb="0000BFF0"/>
    <outlinePr summaryBelow="1" summaryRight="1"/>
    <pageSetUpPr fitToPage="1"/>
  </sheetPr>
  <dimension ref="A1:L24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.5" customWidth="1" min="1" max="1"/>
    <col width="26" customWidth="1" min="2" max="2"/>
    <col width="14" customWidth="1" min="3" max="3"/>
    <col width="14" customWidth="1" min="4" max="4"/>
    <col width="12" customWidth="1" min="5" max="5"/>
    <col width="3" customWidth="1" min="6" max="6"/>
  </cols>
  <sheetData>
    <row r="1" ht="30" customHeight="1">
      <c r="A1" s="1" t="n"/>
      <c r="B1" s="2" t="inlineStr">
        <is>
          <t>Histogram</t>
        </is>
      </c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3" t="inlineStr">
        <is>
          <t>SKILLAGILITY</t>
        </is>
      </c>
    </row>
    <row r="2" ht="18" customHeight="1">
      <c r="A2" s="1" t="n"/>
      <c r="B2" s="4" t="inlineStr">
        <is>
          <t>SHAPE OF THE DISTRIBUTION FOR THE VARIABLE CHOSEN ON 'SUMMARY'</t>
        </is>
      </c>
      <c r="C2" s="1" t="n"/>
      <c r="D2" s="1" t="n"/>
      <c r="E2" s="1" t="n"/>
      <c r="F2" s="1" t="n"/>
      <c r="G2" s="1" t="n"/>
      <c r="H2" s="1" t="n"/>
      <c r="I2" s="1" t="n"/>
      <c r="J2" s="1" t="n"/>
      <c r="K2" s="1" t="n"/>
      <c r="L2" s="1" t="n"/>
    </row>
    <row r="3" ht="4" customHeight="1">
      <c r="A3" s="5" t="n"/>
      <c r="B3" s="5" t="n"/>
      <c r="C3" s="5" t="n"/>
      <c r="D3" s="5" t="n"/>
      <c r="E3" s="5" t="n"/>
      <c r="F3" s="5" t="n"/>
      <c r="G3" s="5" t="n"/>
      <c r="H3" s="5" t="n"/>
      <c r="I3" s="5" t="n"/>
      <c r="J3" s="6" t="n"/>
      <c r="K3" s="6" t="n"/>
      <c r="L3" s="6" t="n"/>
    </row>
    <row r="5">
      <c r="B5" s="15" t="inlineStr">
        <is>
          <t>Variable</t>
        </is>
      </c>
      <c r="C5" s="29">
        <f>'Summary'!C5</f>
        <v/>
      </c>
    </row>
    <row r="6">
      <c r="B6" s="13" t="inlineStr">
        <is>
          <t>Start value (optional)</t>
        </is>
      </c>
      <c r="C6" s="30" t="n"/>
    </row>
    <row r="7">
      <c r="B7" s="13" t="inlineStr">
        <is>
          <t>Bin width (optional)</t>
        </is>
      </c>
      <c r="C7" s="30" t="n"/>
    </row>
    <row r="8">
      <c r="B8" s="13" t="inlineStr">
        <is>
          <t>Start value used</t>
        </is>
      </c>
      <c r="C8" s="27">
        <f>IF(C6&lt;&gt;"",C6,'Summary'!C11)</f>
        <v/>
      </c>
    </row>
    <row r="9">
      <c r="B9" s="13" t="inlineStr">
        <is>
          <t>Bin width used</t>
        </is>
      </c>
      <c r="C9" s="27">
        <f>IF(C7&lt;&gt;"",C7,IF('Summary'!C15=0,1,'Summary'!C15/8*1.0001))</f>
        <v/>
      </c>
    </row>
    <row r="11">
      <c r="B11" s="18" t="inlineStr">
        <is>
          <t>Bin</t>
        </is>
      </c>
      <c r="C11" s="18" t="inlineStr">
        <is>
          <t>From ≥</t>
        </is>
      </c>
      <c r="D11" s="18" t="inlineStr">
        <is>
          <t>To &lt;</t>
        </is>
      </c>
      <c r="E11" s="18" t="inlineStr">
        <is>
          <t>Frequency</t>
        </is>
      </c>
    </row>
    <row r="12">
      <c r="B12" s="14">
        <f>TEXT(C12,"0.0")&amp;" – "&amp;TEXT(D12,"0.0")</f>
        <v/>
      </c>
      <c r="C12" s="27">
        <f>$C$8+0*$C$9</f>
        <v/>
      </c>
      <c r="D12" s="27">
        <f>C12+$C$9</f>
        <v/>
      </c>
      <c r="E12" s="25">
        <f>COUNTIFS(INDEX('Data'!$D$6:$F$205,0,'Summary'!$P$5),"&gt;="&amp;C12,INDEX('Data'!$D$6:$F$205,0,'Summary'!$P$5),"&lt;"&amp;D12)</f>
        <v/>
      </c>
    </row>
    <row r="13">
      <c r="B13" s="14">
        <f>TEXT(C13,"0.0")&amp;" – "&amp;TEXT(D13,"0.0")</f>
        <v/>
      </c>
      <c r="C13" s="27">
        <f>$C$8+1*$C$9</f>
        <v/>
      </c>
      <c r="D13" s="27">
        <f>C13+$C$9</f>
        <v/>
      </c>
      <c r="E13" s="25">
        <f>COUNTIFS(INDEX('Data'!$D$6:$F$205,0,'Summary'!$P$5),"&gt;="&amp;C13,INDEX('Data'!$D$6:$F$205,0,'Summary'!$P$5),"&lt;"&amp;D13)</f>
        <v/>
      </c>
    </row>
    <row r="14">
      <c r="B14" s="14">
        <f>TEXT(C14,"0.0")&amp;" – "&amp;TEXT(D14,"0.0")</f>
        <v/>
      </c>
      <c r="C14" s="27">
        <f>$C$8+2*$C$9</f>
        <v/>
      </c>
      <c r="D14" s="27">
        <f>C14+$C$9</f>
        <v/>
      </c>
      <c r="E14" s="25">
        <f>COUNTIFS(INDEX('Data'!$D$6:$F$205,0,'Summary'!$P$5),"&gt;="&amp;C14,INDEX('Data'!$D$6:$F$205,0,'Summary'!$P$5),"&lt;"&amp;D14)</f>
        <v/>
      </c>
    </row>
    <row r="15">
      <c r="B15" s="14">
        <f>TEXT(C15,"0.0")&amp;" – "&amp;TEXT(D15,"0.0")</f>
        <v/>
      </c>
      <c r="C15" s="27">
        <f>$C$8+3*$C$9</f>
        <v/>
      </c>
      <c r="D15" s="27">
        <f>C15+$C$9</f>
        <v/>
      </c>
      <c r="E15" s="25">
        <f>COUNTIFS(INDEX('Data'!$D$6:$F$205,0,'Summary'!$P$5),"&gt;="&amp;C15,INDEX('Data'!$D$6:$F$205,0,'Summary'!$P$5),"&lt;"&amp;D15)</f>
        <v/>
      </c>
    </row>
    <row r="16">
      <c r="B16" s="14">
        <f>TEXT(C16,"0.0")&amp;" – "&amp;TEXT(D16,"0.0")</f>
        <v/>
      </c>
      <c r="C16" s="27">
        <f>$C$8+4*$C$9</f>
        <v/>
      </c>
      <c r="D16" s="27">
        <f>C16+$C$9</f>
        <v/>
      </c>
      <c r="E16" s="25">
        <f>COUNTIFS(INDEX('Data'!$D$6:$F$205,0,'Summary'!$P$5),"&gt;="&amp;C16,INDEX('Data'!$D$6:$F$205,0,'Summary'!$P$5),"&lt;"&amp;D16)</f>
        <v/>
      </c>
    </row>
    <row r="17">
      <c r="B17" s="14">
        <f>TEXT(C17,"0.0")&amp;" – "&amp;TEXT(D17,"0.0")</f>
        <v/>
      </c>
      <c r="C17" s="27">
        <f>$C$8+5*$C$9</f>
        <v/>
      </c>
      <c r="D17" s="27">
        <f>C17+$C$9</f>
        <v/>
      </c>
      <c r="E17" s="25">
        <f>COUNTIFS(INDEX('Data'!$D$6:$F$205,0,'Summary'!$P$5),"&gt;="&amp;C17,INDEX('Data'!$D$6:$F$205,0,'Summary'!$P$5),"&lt;"&amp;D17)</f>
        <v/>
      </c>
    </row>
    <row r="18">
      <c r="B18" s="14">
        <f>TEXT(C18,"0.0")&amp;" – "&amp;TEXT(D18,"0.0")</f>
        <v/>
      </c>
      <c r="C18" s="27">
        <f>$C$8+6*$C$9</f>
        <v/>
      </c>
      <c r="D18" s="27">
        <f>C18+$C$9</f>
        <v/>
      </c>
      <c r="E18" s="25">
        <f>COUNTIFS(INDEX('Data'!$D$6:$F$205,0,'Summary'!$P$5),"&gt;="&amp;C18,INDEX('Data'!$D$6:$F$205,0,'Summary'!$P$5),"&lt;"&amp;D18)</f>
        <v/>
      </c>
    </row>
    <row r="19">
      <c r="B19" s="14">
        <f>TEXT(C19,"0.0")&amp;" – "&amp;TEXT(D19,"0.0")</f>
        <v/>
      </c>
      <c r="C19" s="27">
        <f>$C$8+7*$C$9</f>
        <v/>
      </c>
      <c r="D19" s="27">
        <f>C19+$C$9</f>
        <v/>
      </c>
      <c r="E19" s="25">
        <f>COUNTIFS(INDEX('Data'!$D$6:$F$205,0,'Summary'!$P$5),"&gt;="&amp;C19,INDEX('Data'!$D$6:$F$205,0,'Summary'!$P$5),"&lt;"&amp;D19)</f>
        <v/>
      </c>
    </row>
    <row r="20">
      <c r="B20" s="15" t="inlineStr">
        <is>
          <t>Total counted</t>
        </is>
      </c>
      <c r="E20" s="31">
        <f>SUM(E12:E19)</f>
        <v/>
      </c>
    </row>
    <row r="21">
      <c r="B21" s="13" t="inlineStr">
        <is>
          <t>Values outside the bins</t>
        </is>
      </c>
      <c r="E21" s="25">
        <f>'Summary'!C6-E20</f>
        <v/>
      </c>
    </row>
    <row r="24">
      <c r="B24" s="17" t="inlineStr">
        <is>
          <t>© SKILLAGILITY · Operational Excellence training · skillagility.com</t>
        </is>
      </c>
    </row>
  </sheetData>
  <pageMargins left="0.75" right="0.75" top="1" bottom="1" header="0.5" footer="0.5"/>
  <pageSetup orientation="landscape" fitToHeight="1" fitToWidth="1"/>
  <headerFooter>
    <oddHeader/>
    <oddFooter>&amp;LSKILLAGILITY · skillagility.com&amp;R&amp;P / &amp;N</oddFooter>
    <evenHeader/>
    <evenFooter/>
    <firstHeader/>
    <firstFooter/>
  </headerFooter>
  <drawing xmlns:r="http://schemas.openxmlformats.org/officeDocument/2006/relationships" r:id="rId1"/>
</worksheet>
</file>

<file path=xl/worksheets/sheet5.xml><?xml version="1.0" encoding="utf-8"?>
<worksheet xmlns="http://schemas.openxmlformats.org/spreadsheetml/2006/main">
  <sheetPr>
    <tabColor rgb="0000BFF0"/>
    <outlinePr summaryBelow="1" summaryRight="1"/>
    <pageSetUpPr fitToPage="1"/>
  </sheetPr>
  <dimension ref="A1:S209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.5" customWidth="1" min="1" max="1"/>
    <col width="26" customWidth="1" min="2" max="2"/>
    <col width="14" customWidth="1" min="3" max="3"/>
    <col hidden="1" width="13" customWidth="1" min="16" max="16"/>
    <col hidden="1" width="13" customWidth="1" min="17" max="17"/>
    <col hidden="1" width="13" customWidth="1" min="18" max="18"/>
    <col hidden="1" width="13" customWidth="1" min="19" max="19"/>
  </cols>
  <sheetData>
    <row r="1" ht="30" customHeight="1">
      <c r="A1" s="1" t="n"/>
      <c r="B1" s="2" t="inlineStr">
        <is>
          <t>Run Chart</t>
        </is>
      </c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3" t="inlineStr">
        <is>
          <t>SKILLAGILITY</t>
        </is>
      </c>
    </row>
    <row r="2" ht="18" customHeight="1">
      <c r="A2" s="1" t="n"/>
      <c r="B2" s="4" t="inlineStr">
        <is>
          <t>VALUES IN TIME ORDER WITH THE MEDIAN AS CENTRE LINE</t>
        </is>
      </c>
      <c r="C2" s="1" t="n"/>
      <c r="D2" s="1" t="n"/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</row>
    <row r="3" ht="4" customHeight="1">
      <c r="A3" s="5" t="n"/>
      <c r="B3" s="5" t="n"/>
      <c r="C3" s="5" t="n"/>
      <c r="D3" s="5" t="n"/>
      <c r="E3" s="5" t="n"/>
      <c r="F3" s="5" t="n"/>
      <c r="G3" s="5" t="n"/>
      <c r="H3" s="5" t="n"/>
      <c r="I3" s="5" t="n"/>
      <c r="J3" s="5" t="n"/>
      <c r="K3" s="6" t="n"/>
      <c r="L3" s="6" t="n"/>
      <c r="M3" s="6" t="n"/>
      <c r="N3" s="6" t="n"/>
    </row>
    <row r="5">
      <c r="B5" s="15" t="inlineStr">
        <is>
          <t>Variable</t>
        </is>
      </c>
      <c r="C5" s="29">
        <f>'Summary'!C5</f>
        <v/>
      </c>
    </row>
    <row r="6">
      <c r="B6" s="13" t="inlineStr">
        <is>
          <t>Median</t>
        </is>
      </c>
      <c r="C6" s="27">
        <f>'Summary'!C8</f>
        <v/>
      </c>
    </row>
    <row r="7">
      <c r="B7" s="13" t="inlineStr">
        <is>
          <t>Runs about the median</t>
        </is>
      </c>
      <c r="C7" s="25">
        <f>IF(COUNT(S10:S209)=0,"",1+SUMPRODUCT((S11:S209&lt;&gt;"")*(S10:S208&lt;&gt;"")*(S11:S209&lt;&gt;S10:S208)))</f>
        <v/>
      </c>
    </row>
    <row r="9" ht="64" customHeight="1">
      <c r="B9" s="20" t="inlineStr">
        <is>
          <t>Rules of thumb: 6+ points in a row on one side of the median = shift; 5+ points steadily up or down = trend; very few or very many runs = non-random pattern.</t>
        </is>
      </c>
    </row>
    <row r="10">
      <c r="P10">
        <f>IF(INDEX('Data'!$D$6:$F$205,1,'Summary'!$P$5)="",NA(),1)</f>
        <v/>
      </c>
      <c r="Q10">
        <f>IF(INDEX('Data'!$D$6:$F$205,1,'Summary'!$P$5)="",NA(),INDEX('Data'!$D$6:$F$205,1,'Summary'!$P$5))</f>
        <v/>
      </c>
      <c r="R10">
        <f>$C$6</f>
        <v/>
      </c>
      <c r="S10">
        <f>IF(ISNA(Q10),"",IF(Q10&gt;$C$6,1,IF(Q10&lt;$C$6,-1,"")))</f>
        <v/>
      </c>
    </row>
    <row r="11">
      <c r="P11">
        <f>IF(INDEX('Data'!$D$6:$F$205,2,'Summary'!$P$5)="",NA(),2)</f>
        <v/>
      </c>
      <c r="Q11">
        <f>IF(INDEX('Data'!$D$6:$F$205,2,'Summary'!$P$5)="",NA(),INDEX('Data'!$D$6:$F$205,2,'Summary'!$P$5))</f>
        <v/>
      </c>
      <c r="R11">
        <f>$C$6</f>
        <v/>
      </c>
      <c r="S11">
        <f>IF(ISNA(Q11),"",IF(Q11&gt;$C$6,1,IF(Q11&lt;$C$6,-1,"")))</f>
        <v/>
      </c>
    </row>
    <row r="12">
      <c r="P12">
        <f>IF(INDEX('Data'!$D$6:$F$205,3,'Summary'!$P$5)="",NA(),3)</f>
        <v/>
      </c>
      <c r="Q12">
        <f>IF(INDEX('Data'!$D$6:$F$205,3,'Summary'!$P$5)="",NA(),INDEX('Data'!$D$6:$F$205,3,'Summary'!$P$5))</f>
        <v/>
      </c>
      <c r="R12">
        <f>$C$6</f>
        <v/>
      </c>
      <c r="S12">
        <f>IF(ISNA(Q12),"",IF(Q12&gt;$C$6,1,IF(Q12&lt;$C$6,-1,"")))</f>
        <v/>
      </c>
    </row>
    <row r="13">
      <c r="P13">
        <f>IF(INDEX('Data'!$D$6:$F$205,4,'Summary'!$P$5)="",NA(),4)</f>
        <v/>
      </c>
      <c r="Q13">
        <f>IF(INDEX('Data'!$D$6:$F$205,4,'Summary'!$P$5)="",NA(),INDEX('Data'!$D$6:$F$205,4,'Summary'!$P$5))</f>
        <v/>
      </c>
      <c r="R13">
        <f>$C$6</f>
        <v/>
      </c>
      <c r="S13">
        <f>IF(ISNA(Q13),"",IF(Q13&gt;$C$6,1,IF(Q13&lt;$C$6,-1,"")))</f>
        <v/>
      </c>
    </row>
    <row r="14">
      <c r="P14">
        <f>IF(INDEX('Data'!$D$6:$F$205,5,'Summary'!$P$5)="",NA(),5)</f>
        <v/>
      </c>
      <c r="Q14">
        <f>IF(INDEX('Data'!$D$6:$F$205,5,'Summary'!$P$5)="",NA(),INDEX('Data'!$D$6:$F$205,5,'Summary'!$P$5))</f>
        <v/>
      </c>
      <c r="R14">
        <f>$C$6</f>
        <v/>
      </c>
      <c r="S14">
        <f>IF(ISNA(Q14),"",IF(Q14&gt;$C$6,1,IF(Q14&lt;$C$6,-1,"")))</f>
        <v/>
      </c>
    </row>
    <row r="15">
      <c r="P15">
        <f>IF(INDEX('Data'!$D$6:$F$205,6,'Summary'!$P$5)="",NA(),6)</f>
        <v/>
      </c>
      <c r="Q15">
        <f>IF(INDEX('Data'!$D$6:$F$205,6,'Summary'!$P$5)="",NA(),INDEX('Data'!$D$6:$F$205,6,'Summary'!$P$5))</f>
        <v/>
      </c>
      <c r="R15">
        <f>$C$6</f>
        <v/>
      </c>
      <c r="S15">
        <f>IF(ISNA(Q15),"",IF(Q15&gt;$C$6,1,IF(Q15&lt;$C$6,-1,"")))</f>
        <v/>
      </c>
    </row>
    <row r="16">
      <c r="P16">
        <f>IF(INDEX('Data'!$D$6:$F$205,7,'Summary'!$P$5)="",NA(),7)</f>
        <v/>
      </c>
      <c r="Q16">
        <f>IF(INDEX('Data'!$D$6:$F$205,7,'Summary'!$P$5)="",NA(),INDEX('Data'!$D$6:$F$205,7,'Summary'!$P$5))</f>
        <v/>
      </c>
      <c r="R16">
        <f>$C$6</f>
        <v/>
      </c>
      <c r="S16">
        <f>IF(ISNA(Q16),"",IF(Q16&gt;$C$6,1,IF(Q16&lt;$C$6,-1,"")))</f>
        <v/>
      </c>
    </row>
    <row r="17">
      <c r="P17">
        <f>IF(INDEX('Data'!$D$6:$F$205,8,'Summary'!$P$5)="",NA(),8)</f>
        <v/>
      </c>
      <c r="Q17">
        <f>IF(INDEX('Data'!$D$6:$F$205,8,'Summary'!$P$5)="",NA(),INDEX('Data'!$D$6:$F$205,8,'Summary'!$P$5))</f>
        <v/>
      </c>
      <c r="R17">
        <f>$C$6</f>
        <v/>
      </c>
      <c r="S17">
        <f>IF(ISNA(Q17),"",IF(Q17&gt;$C$6,1,IF(Q17&lt;$C$6,-1,"")))</f>
        <v/>
      </c>
    </row>
    <row r="18">
      <c r="P18">
        <f>IF(INDEX('Data'!$D$6:$F$205,9,'Summary'!$P$5)="",NA(),9)</f>
        <v/>
      </c>
      <c r="Q18">
        <f>IF(INDEX('Data'!$D$6:$F$205,9,'Summary'!$P$5)="",NA(),INDEX('Data'!$D$6:$F$205,9,'Summary'!$P$5))</f>
        <v/>
      </c>
      <c r="R18">
        <f>$C$6</f>
        <v/>
      </c>
      <c r="S18">
        <f>IF(ISNA(Q18),"",IF(Q18&gt;$C$6,1,IF(Q18&lt;$C$6,-1,"")))</f>
        <v/>
      </c>
    </row>
    <row r="19">
      <c r="P19">
        <f>IF(INDEX('Data'!$D$6:$F$205,10,'Summary'!$P$5)="",NA(),10)</f>
        <v/>
      </c>
      <c r="Q19">
        <f>IF(INDEX('Data'!$D$6:$F$205,10,'Summary'!$P$5)="",NA(),INDEX('Data'!$D$6:$F$205,10,'Summary'!$P$5))</f>
        <v/>
      </c>
      <c r="R19">
        <f>$C$6</f>
        <v/>
      </c>
      <c r="S19">
        <f>IF(ISNA(Q19),"",IF(Q19&gt;$C$6,1,IF(Q19&lt;$C$6,-1,"")))</f>
        <v/>
      </c>
    </row>
    <row r="20">
      <c r="P20">
        <f>IF(INDEX('Data'!$D$6:$F$205,11,'Summary'!$P$5)="",NA(),11)</f>
        <v/>
      </c>
      <c r="Q20">
        <f>IF(INDEX('Data'!$D$6:$F$205,11,'Summary'!$P$5)="",NA(),INDEX('Data'!$D$6:$F$205,11,'Summary'!$P$5))</f>
        <v/>
      </c>
      <c r="R20">
        <f>$C$6</f>
        <v/>
      </c>
      <c r="S20">
        <f>IF(ISNA(Q20),"",IF(Q20&gt;$C$6,1,IF(Q20&lt;$C$6,-1,"")))</f>
        <v/>
      </c>
    </row>
    <row r="21">
      <c r="P21">
        <f>IF(INDEX('Data'!$D$6:$F$205,12,'Summary'!$P$5)="",NA(),12)</f>
        <v/>
      </c>
      <c r="Q21">
        <f>IF(INDEX('Data'!$D$6:$F$205,12,'Summary'!$P$5)="",NA(),INDEX('Data'!$D$6:$F$205,12,'Summary'!$P$5))</f>
        <v/>
      </c>
      <c r="R21">
        <f>$C$6</f>
        <v/>
      </c>
      <c r="S21">
        <f>IF(ISNA(Q21),"",IF(Q21&gt;$C$6,1,IF(Q21&lt;$C$6,-1,"")))</f>
        <v/>
      </c>
    </row>
    <row r="22">
      <c r="P22">
        <f>IF(INDEX('Data'!$D$6:$F$205,13,'Summary'!$P$5)="",NA(),13)</f>
        <v/>
      </c>
      <c r="Q22">
        <f>IF(INDEX('Data'!$D$6:$F$205,13,'Summary'!$P$5)="",NA(),INDEX('Data'!$D$6:$F$205,13,'Summary'!$P$5))</f>
        <v/>
      </c>
      <c r="R22">
        <f>$C$6</f>
        <v/>
      </c>
      <c r="S22">
        <f>IF(ISNA(Q22),"",IF(Q22&gt;$C$6,1,IF(Q22&lt;$C$6,-1,"")))</f>
        <v/>
      </c>
    </row>
    <row r="23">
      <c r="P23">
        <f>IF(INDEX('Data'!$D$6:$F$205,14,'Summary'!$P$5)="",NA(),14)</f>
        <v/>
      </c>
      <c r="Q23">
        <f>IF(INDEX('Data'!$D$6:$F$205,14,'Summary'!$P$5)="",NA(),INDEX('Data'!$D$6:$F$205,14,'Summary'!$P$5))</f>
        <v/>
      </c>
      <c r="R23">
        <f>$C$6</f>
        <v/>
      </c>
      <c r="S23">
        <f>IF(ISNA(Q23),"",IF(Q23&gt;$C$6,1,IF(Q23&lt;$C$6,-1,"")))</f>
        <v/>
      </c>
    </row>
    <row r="24">
      <c r="P24">
        <f>IF(INDEX('Data'!$D$6:$F$205,15,'Summary'!$P$5)="",NA(),15)</f>
        <v/>
      </c>
      <c r="Q24">
        <f>IF(INDEX('Data'!$D$6:$F$205,15,'Summary'!$P$5)="",NA(),INDEX('Data'!$D$6:$F$205,15,'Summary'!$P$5))</f>
        <v/>
      </c>
      <c r="R24">
        <f>$C$6</f>
        <v/>
      </c>
      <c r="S24">
        <f>IF(ISNA(Q24),"",IF(Q24&gt;$C$6,1,IF(Q24&lt;$C$6,-1,"")))</f>
        <v/>
      </c>
    </row>
    <row r="25">
      <c r="P25">
        <f>IF(INDEX('Data'!$D$6:$F$205,16,'Summary'!$P$5)="",NA(),16)</f>
        <v/>
      </c>
      <c r="Q25">
        <f>IF(INDEX('Data'!$D$6:$F$205,16,'Summary'!$P$5)="",NA(),INDEX('Data'!$D$6:$F$205,16,'Summary'!$P$5))</f>
        <v/>
      </c>
      <c r="R25">
        <f>$C$6</f>
        <v/>
      </c>
      <c r="S25">
        <f>IF(ISNA(Q25),"",IF(Q25&gt;$C$6,1,IF(Q25&lt;$C$6,-1,"")))</f>
        <v/>
      </c>
    </row>
    <row r="26">
      <c r="B26" s="17" t="inlineStr">
        <is>
          <t>© SKILLAGILITY · Operational Excellence training · skillagility.com</t>
        </is>
      </c>
      <c r="P26">
        <f>IF(INDEX('Data'!$D$6:$F$205,17,'Summary'!$P$5)="",NA(),17)</f>
        <v/>
      </c>
      <c r="Q26">
        <f>IF(INDEX('Data'!$D$6:$F$205,17,'Summary'!$P$5)="",NA(),INDEX('Data'!$D$6:$F$205,17,'Summary'!$P$5))</f>
        <v/>
      </c>
      <c r="R26">
        <f>$C$6</f>
        <v/>
      </c>
      <c r="S26">
        <f>IF(ISNA(Q26),"",IF(Q26&gt;$C$6,1,IF(Q26&lt;$C$6,-1,"")))</f>
        <v/>
      </c>
    </row>
    <row r="27">
      <c r="P27">
        <f>IF(INDEX('Data'!$D$6:$F$205,18,'Summary'!$P$5)="",NA(),18)</f>
        <v/>
      </c>
      <c r="Q27">
        <f>IF(INDEX('Data'!$D$6:$F$205,18,'Summary'!$P$5)="",NA(),INDEX('Data'!$D$6:$F$205,18,'Summary'!$P$5))</f>
        <v/>
      </c>
      <c r="R27">
        <f>$C$6</f>
        <v/>
      </c>
      <c r="S27">
        <f>IF(ISNA(Q27),"",IF(Q27&gt;$C$6,1,IF(Q27&lt;$C$6,-1,"")))</f>
        <v/>
      </c>
    </row>
    <row r="28">
      <c r="P28">
        <f>IF(INDEX('Data'!$D$6:$F$205,19,'Summary'!$P$5)="",NA(),19)</f>
        <v/>
      </c>
      <c r="Q28">
        <f>IF(INDEX('Data'!$D$6:$F$205,19,'Summary'!$P$5)="",NA(),INDEX('Data'!$D$6:$F$205,19,'Summary'!$P$5))</f>
        <v/>
      </c>
      <c r="R28">
        <f>$C$6</f>
        <v/>
      </c>
      <c r="S28">
        <f>IF(ISNA(Q28),"",IF(Q28&gt;$C$6,1,IF(Q28&lt;$C$6,-1,"")))</f>
        <v/>
      </c>
    </row>
    <row r="29">
      <c r="P29">
        <f>IF(INDEX('Data'!$D$6:$F$205,20,'Summary'!$P$5)="",NA(),20)</f>
        <v/>
      </c>
      <c r="Q29">
        <f>IF(INDEX('Data'!$D$6:$F$205,20,'Summary'!$P$5)="",NA(),INDEX('Data'!$D$6:$F$205,20,'Summary'!$P$5))</f>
        <v/>
      </c>
      <c r="R29">
        <f>$C$6</f>
        <v/>
      </c>
      <c r="S29">
        <f>IF(ISNA(Q29),"",IF(Q29&gt;$C$6,1,IF(Q29&lt;$C$6,-1,"")))</f>
        <v/>
      </c>
    </row>
    <row r="30">
      <c r="P30">
        <f>IF(INDEX('Data'!$D$6:$F$205,21,'Summary'!$P$5)="",NA(),21)</f>
        <v/>
      </c>
      <c r="Q30">
        <f>IF(INDEX('Data'!$D$6:$F$205,21,'Summary'!$P$5)="",NA(),INDEX('Data'!$D$6:$F$205,21,'Summary'!$P$5))</f>
        <v/>
      </c>
      <c r="R30">
        <f>$C$6</f>
        <v/>
      </c>
      <c r="S30">
        <f>IF(ISNA(Q30),"",IF(Q30&gt;$C$6,1,IF(Q30&lt;$C$6,-1,"")))</f>
        <v/>
      </c>
    </row>
    <row r="31">
      <c r="P31">
        <f>IF(INDEX('Data'!$D$6:$F$205,22,'Summary'!$P$5)="",NA(),22)</f>
        <v/>
      </c>
      <c r="Q31">
        <f>IF(INDEX('Data'!$D$6:$F$205,22,'Summary'!$P$5)="",NA(),INDEX('Data'!$D$6:$F$205,22,'Summary'!$P$5))</f>
        <v/>
      </c>
      <c r="R31">
        <f>$C$6</f>
        <v/>
      </c>
      <c r="S31">
        <f>IF(ISNA(Q31),"",IF(Q31&gt;$C$6,1,IF(Q31&lt;$C$6,-1,"")))</f>
        <v/>
      </c>
    </row>
    <row r="32">
      <c r="P32">
        <f>IF(INDEX('Data'!$D$6:$F$205,23,'Summary'!$P$5)="",NA(),23)</f>
        <v/>
      </c>
      <c r="Q32">
        <f>IF(INDEX('Data'!$D$6:$F$205,23,'Summary'!$P$5)="",NA(),INDEX('Data'!$D$6:$F$205,23,'Summary'!$P$5))</f>
        <v/>
      </c>
      <c r="R32">
        <f>$C$6</f>
        <v/>
      </c>
      <c r="S32">
        <f>IF(ISNA(Q32),"",IF(Q32&gt;$C$6,1,IF(Q32&lt;$C$6,-1,"")))</f>
        <v/>
      </c>
    </row>
    <row r="33">
      <c r="P33">
        <f>IF(INDEX('Data'!$D$6:$F$205,24,'Summary'!$P$5)="",NA(),24)</f>
        <v/>
      </c>
      <c r="Q33">
        <f>IF(INDEX('Data'!$D$6:$F$205,24,'Summary'!$P$5)="",NA(),INDEX('Data'!$D$6:$F$205,24,'Summary'!$P$5))</f>
        <v/>
      </c>
      <c r="R33">
        <f>$C$6</f>
        <v/>
      </c>
      <c r="S33">
        <f>IF(ISNA(Q33),"",IF(Q33&gt;$C$6,1,IF(Q33&lt;$C$6,-1,"")))</f>
        <v/>
      </c>
    </row>
    <row r="34">
      <c r="P34">
        <f>IF(INDEX('Data'!$D$6:$F$205,25,'Summary'!$P$5)="",NA(),25)</f>
        <v/>
      </c>
      <c r="Q34">
        <f>IF(INDEX('Data'!$D$6:$F$205,25,'Summary'!$P$5)="",NA(),INDEX('Data'!$D$6:$F$205,25,'Summary'!$P$5))</f>
        <v/>
      </c>
      <c r="R34">
        <f>$C$6</f>
        <v/>
      </c>
      <c r="S34">
        <f>IF(ISNA(Q34),"",IF(Q34&gt;$C$6,1,IF(Q34&lt;$C$6,-1,"")))</f>
        <v/>
      </c>
    </row>
    <row r="35">
      <c r="P35">
        <f>IF(INDEX('Data'!$D$6:$F$205,26,'Summary'!$P$5)="",NA(),26)</f>
        <v/>
      </c>
      <c r="Q35">
        <f>IF(INDEX('Data'!$D$6:$F$205,26,'Summary'!$P$5)="",NA(),INDEX('Data'!$D$6:$F$205,26,'Summary'!$P$5))</f>
        <v/>
      </c>
      <c r="R35">
        <f>$C$6</f>
        <v/>
      </c>
      <c r="S35">
        <f>IF(ISNA(Q35),"",IF(Q35&gt;$C$6,1,IF(Q35&lt;$C$6,-1,"")))</f>
        <v/>
      </c>
    </row>
    <row r="36">
      <c r="P36">
        <f>IF(INDEX('Data'!$D$6:$F$205,27,'Summary'!$P$5)="",NA(),27)</f>
        <v/>
      </c>
      <c r="Q36">
        <f>IF(INDEX('Data'!$D$6:$F$205,27,'Summary'!$P$5)="",NA(),INDEX('Data'!$D$6:$F$205,27,'Summary'!$P$5))</f>
        <v/>
      </c>
      <c r="R36">
        <f>$C$6</f>
        <v/>
      </c>
      <c r="S36">
        <f>IF(ISNA(Q36),"",IF(Q36&gt;$C$6,1,IF(Q36&lt;$C$6,-1,"")))</f>
        <v/>
      </c>
    </row>
    <row r="37">
      <c r="P37">
        <f>IF(INDEX('Data'!$D$6:$F$205,28,'Summary'!$P$5)="",NA(),28)</f>
        <v/>
      </c>
      <c r="Q37">
        <f>IF(INDEX('Data'!$D$6:$F$205,28,'Summary'!$P$5)="",NA(),INDEX('Data'!$D$6:$F$205,28,'Summary'!$P$5))</f>
        <v/>
      </c>
      <c r="R37">
        <f>$C$6</f>
        <v/>
      </c>
      <c r="S37">
        <f>IF(ISNA(Q37),"",IF(Q37&gt;$C$6,1,IF(Q37&lt;$C$6,-1,"")))</f>
        <v/>
      </c>
    </row>
    <row r="38">
      <c r="P38">
        <f>IF(INDEX('Data'!$D$6:$F$205,29,'Summary'!$P$5)="",NA(),29)</f>
        <v/>
      </c>
      <c r="Q38">
        <f>IF(INDEX('Data'!$D$6:$F$205,29,'Summary'!$P$5)="",NA(),INDEX('Data'!$D$6:$F$205,29,'Summary'!$P$5))</f>
        <v/>
      </c>
      <c r="R38">
        <f>$C$6</f>
        <v/>
      </c>
      <c r="S38">
        <f>IF(ISNA(Q38),"",IF(Q38&gt;$C$6,1,IF(Q38&lt;$C$6,-1,"")))</f>
        <v/>
      </c>
    </row>
    <row r="39">
      <c r="P39">
        <f>IF(INDEX('Data'!$D$6:$F$205,30,'Summary'!$P$5)="",NA(),30)</f>
        <v/>
      </c>
      <c r="Q39">
        <f>IF(INDEX('Data'!$D$6:$F$205,30,'Summary'!$P$5)="",NA(),INDEX('Data'!$D$6:$F$205,30,'Summary'!$P$5))</f>
        <v/>
      </c>
      <c r="R39">
        <f>$C$6</f>
        <v/>
      </c>
      <c r="S39">
        <f>IF(ISNA(Q39),"",IF(Q39&gt;$C$6,1,IF(Q39&lt;$C$6,-1,"")))</f>
        <v/>
      </c>
    </row>
    <row r="40">
      <c r="P40">
        <f>IF(INDEX('Data'!$D$6:$F$205,31,'Summary'!$P$5)="",NA(),31)</f>
        <v/>
      </c>
      <c r="Q40">
        <f>IF(INDEX('Data'!$D$6:$F$205,31,'Summary'!$P$5)="",NA(),INDEX('Data'!$D$6:$F$205,31,'Summary'!$P$5))</f>
        <v/>
      </c>
      <c r="R40">
        <f>$C$6</f>
        <v/>
      </c>
      <c r="S40">
        <f>IF(ISNA(Q40),"",IF(Q40&gt;$C$6,1,IF(Q40&lt;$C$6,-1,"")))</f>
        <v/>
      </c>
    </row>
    <row r="41">
      <c r="P41">
        <f>IF(INDEX('Data'!$D$6:$F$205,32,'Summary'!$P$5)="",NA(),32)</f>
        <v/>
      </c>
      <c r="Q41">
        <f>IF(INDEX('Data'!$D$6:$F$205,32,'Summary'!$P$5)="",NA(),INDEX('Data'!$D$6:$F$205,32,'Summary'!$P$5))</f>
        <v/>
      </c>
      <c r="R41">
        <f>$C$6</f>
        <v/>
      </c>
      <c r="S41">
        <f>IF(ISNA(Q41),"",IF(Q41&gt;$C$6,1,IF(Q41&lt;$C$6,-1,"")))</f>
        <v/>
      </c>
    </row>
    <row r="42">
      <c r="P42">
        <f>IF(INDEX('Data'!$D$6:$F$205,33,'Summary'!$P$5)="",NA(),33)</f>
        <v/>
      </c>
      <c r="Q42">
        <f>IF(INDEX('Data'!$D$6:$F$205,33,'Summary'!$P$5)="",NA(),INDEX('Data'!$D$6:$F$205,33,'Summary'!$P$5))</f>
        <v/>
      </c>
      <c r="R42">
        <f>$C$6</f>
        <v/>
      </c>
      <c r="S42">
        <f>IF(ISNA(Q42),"",IF(Q42&gt;$C$6,1,IF(Q42&lt;$C$6,-1,"")))</f>
        <v/>
      </c>
    </row>
    <row r="43">
      <c r="P43">
        <f>IF(INDEX('Data'!$D$6:$F$205,34,'Summary'!$P$5)="",NA(),34)</f>
        <v/>
      </c>
      <c r="Q43">
        <f>IF(INDEX('Data'!$D$6:$F$205,34,'Summary'!$P$5)="",NA(),INDEX('Data'!$D$6:$F$205,34,'Summary'!$P$5))</f>
        <v/>
      </c>
      <c r="R43">
        <f>$C$6</f>
        <v/>
      </c>
      <c r="S43">
        <f>IF(ISNA(Q43),"",IF(Q43&gt;$C$6,1,IF(Q43&lt;$C$6,-1,"")))</f>
        <v/>
      </c>
    </row>
    <row r="44">
      <c r="P44">
        <f>IF(INDEX('Data'!$D$6:$F$205,35,'Summary'!$P$5)="",NA(),35)</f>
        <v/>
      </c>
      <c r="Q44">
        <f>IF(INDEX('Data'!$D$6:$F$205,35,'Summary'!$P$5)="",NA(),INDEX('Data'!$D$6:$F$205,35,'Summary'!$P$5))</f>
        <v/>
      </c>
      <c r="R44">
        <f>$C$6</f>
        <v/>
      </c>
      <c r="S44">
        <f>IF(ISNA(Q44),"",IF(Q44&gt;$C$6,1,IF(Q44&lt;$C$6,-1,"")))</f>
        <v/>
      </c>
    </row>
    <row r="45">
      <c r="P45">
        <f>IF(INDEX('Data'!$D$6:$F$205,36,'Summary'!$P$5)="",NA(),36)</f>
        <v/>
      </c>
      <c r="Q45">
        <f>IF(INDEX('Data'!$D$6:$F$205,36,'Summary'!$P$5)="",NA(),INDEX('Data'!$D$6:$F$205,36,'Summary'!$P$5))</f>
        <v/>
      </c>
      <c r="R45">
        <f>$C$6</f>
        <v/>
      </c>
      <c r="S45">
        <f>IF(ISNA(Q45),"",IF(Q45&gt;$C$6,1,IF(Q45&lt;$C$6,-1,"")))</f>
        <v/>
      </c>
    </row>
    <row r="46">
      <c r="P46">
        <f>IF(INDEX('Data'!$D$6:$F$205,37,'Summary'!$P$5)="",NA(),37)</f>
        <v/>
      </c>
      <c r="Q46">
        <f>IF(INDEX('Data'!$D$6:$F$205,37,'Summary'!$P$5)="",NA(),INDEX('Data'!$D$6:$F$205,37,'Summary'!$P$5))</f>
        <v/>
      </c>
      <c r="R46">
        <f>$C$6</f>
        <v/>
      </c>
      <c r="S46">
        <f>IF(ISNA(Q46),"",IF(Q46&gt;$C$6,1,IF(Q46&lt;$C$6,-1,"")))</f>
        <v/>
      </c>
    </row>
    <row r="47">
      <c r="P47">
        <f>IF(INDEX('Data'!$D$6:$F$205,38,'Summary'!$P$5)="",NA(),38)</f>
        <v/>
      </c>
      <c r="Q47">
        <f>IF(INDEX('Data'!$D$6:$F$205,38,'Summary'!$P$5)="",NA(),INDEX('Data'!$D$6:$F$205,38,'Summary'!$P$5))</f>
        <v/>
      </c>
      <c r="R47">
        <f>$C$6</f>
        <v/>
      </c>
      <c r="S47">
        <f>IF(ISNA(Q47),"",IF(Q47&gt;$C$6,1,IF(Q47&lt;$C$6,-1,"")))</f>
        <v/>
      </c>
    </row>
    <row r="48">
      <c r="P48">
        <f>IF(INDEX('Data'!$D$6:$F$205,39,'Summary'!$P$5)="",NA(),39)</f>
        <v/>
      </c>
      <c r="Q48">
        <f>IF(INDEX('Data'!$D$6:$F$205,39,'Summary'!$P$5)="",NA(),INDEX('Data'!$D$6:$F$205,39,'Summary'!$P$5))</f>
        <v/>
      </c>
      <c r="R48">
        <f>$C$6</f>
        <v/>
      </c>
      <c r="S48">
        <f>IF(ISNA(Q48),"",IF(Q48&gt;$C$6,1,IF(Q48&lt;$C$6,-1,"")))</f>
        <v/>
      </c>
    </row>
    <row r="49">
      <c r="P49">
        <f>IF(INDEX('Data'!$D$6:$F$205,40,'Summary'!$P$5)="",NA(),40)</f>
        <v/>
      </c>
      <c r="Q49">
        <f>IF(INDEX('Data'!$D$6:$F$205,40,'Summary'!$P$5)="",NA(),INDEX('Data'!$D$6:$F$205,40,'Summary'!$P$5))</f>
        <v/>
      </c>
      <c r="R49">
        <f>$C$6</f>
        <v/>
      </c>
      <c r="S49">
        <f>IF(ISNA(Q49),"",IF(Q49&gt;$C$6,1,IF(Q49&lt;$C$6,-1,"")))</f>
        <v/>
      </c>
    </row>
    <row r="50">
      <c r="P50">
        <f>IF(INDEX('Data'!$D$6:$F$205,41,'Summary'!$P$5)="",NA(),41)</f>
        <v/>
      </c>
      <c r="Q50">
        <f>IF(INDEX('Data'!$D$6:$F$205,41,'Summary'!$P$5)="",NA(),INDEX('Data'!$D$6:$F$205,41,'Summary'!$P$5))</f>
        <v/>
      </c>
      <c r="R50">
        <f>$C$6</f>
        <v/>
      </c>
      <c r="S50">
        <f>IF(ISNA(Q50),"",IF(Q50&gt;$C$6,1,IF(Q50&lt;$C$6,-1,"")))</f>
        <v/>
      </c>
    </row>
    <row r="51">
      <c r="P51">
        <f>IF(INDEX('Data'!$D$6:$F$205,42,'Summary'!$P$5)="",NA(),42)</f>
        <v/>
      </c>
      <c r="Q51">
        <f>IF(INDEX('Data'!$D$6:$F$205,42,'Summary'!$P$5)="",NA(),INDEX('Data'!$D$6:$F$205,42,'Summary'!$P$5))</f>
        <v/>
      </c>
      <c r="R51">
        <f>$C$6</f>
        <v/>
      </c>
      <c r="S51">
        <f>IF(ISNA(Q51),"",IF(Q51&gt;$C$6,1,IF(Q51&lt;$C$6,-1,"")))</f>
        <v/>
      </c>
    </row>
    <row r="52">
      <c r="P52">
        <f>IF(INDEX('Data'!$D$6:$F$205,43,'Summary'!$P$5)="",NA(),43)</f>
        <v/>
      </c>
      <c r="Q52">
        <f>IF(INDEX('Data'!$D$6:$F$205,43,'Summary'!$P$5)="",NA(),INDEX('Data'!$D$6:$F$205,43,'Summary'!$P$5))</f>
        <v/>
      </c>
      <c r="R52">
        <f>$C$6</f>
        <v/>
      </c>
      <c r="S52">
        <f>IF(ISNA(Q52),"",IF(Q52&gt;$C$6,1,IF(Q52&lt;$C$6,-1,"")))</f>
        <v/>
      </c>
    </row>
    <row r="53">
      <c r="P53">
        <f>IF(INDEX('Data'!$D$6:$F$205,44,'Summary'!$P$5)="",NA(),44)</f>
        <v/>
      </c>
      <c r="Q53">
        <f>IF(INDEX('Data'!$D$6:$F$205,44,'Summary'!$P$5)="",NA(),INDEX('Data'!$D$6:$F$205,44,'Summary'!$P$5))</f>
        <v/>
      </c>
      <c r="R53">
        <f>$C$6</f>
        <v/>
      </c>
      <c r="S53">
        <f>IF(ISNA(Q53),"",IF(Q53&gt;$C$6,1,IF(Q53&lt;$C$6,-1,"")))</f>
        <v/>
      </c>
    </row>
    <row r="54">
      <c r="P54">
        <f>IF(INDEX('Data'!$D$6:$F$205,45,'Summary'!$P$5)="",NA(),45)</f>
        <v/>
      </c>
      <c r="Q54">
        <f>IF(INDEX('Data'!$D$6:$F$205,45,'Summary'!$P$5)="",NA(),INDEX('Data'!$D$6:$F$205,45,'Summary'!$P$5))</f>
        <v/>
      </c>
      <c r="R54">
        <f>$C$6</f>
        <v/>
      </c>
      <c r="S54">
        <f>IF(ISNA(Q54),"",IF(Q54&gt;$C$6,1,IF(Q54&lt;$C$6,-1,"")))</f>
        <v/>
      </c>
    </row>
    <row r="55">
      <c r="P55">
        <f>IF(INDEX('Data'!$D$6:$F$205,46,'Summary'!$P$5)="",NA(),46)</f>
        <v/>
      </c>
      <c r="Q55">
        <f>IF(INDEX('Data'!$D$6:$F$205,46,'Summary'!$P$5)="",NA(),INDEX('Data'!$D$6:$F$205,46,'Summary'!$P$5))</f>
        <v/>
      </c>
      <c r="R55">
        <f>$C$6</f>
        <v/>
      </c>
      <c r="S55">
        <f>IF(ISNA(Q55),"",IF(Q55&gt;$C$6,1,IF(Q55&lt;$C$6,-1,"")))</f>
        <v/>
      </c>
    </row>
    <row r="56">
      <c r="P56">
        <f>IF(INDEX('Data'!$D$6:$F$205,47,'Summary'!$P$5)="",NA(),47)</f>
        <v/>
      </c>
      <c r="Q56">
        <f>IF(INDEX('Data'!$D$6:$F$205,47,'Summary'!$P$5)="",NA(),INDEX('Data'!$D$6:$F$205,47,'Summary'!$P$5))</f>
        <v/>
      </c>
      <c r="R56">
        <f>$C$6</f>
        <v/>
      </c>
      <c r="S56">
        <f>IF(ISNA(Q56),"",IF(Q56&gt;$C$6,1,IF(Q56&lt;$C$6,-1,"")))</f>
        <v/>
      </c>
    </row>
    <row r="57">
      <c r="P57">
        <f>IF(INDEX('Data'!$D$6:$F$205,48,'Summary'!$P$5)="",NA(),48)</f>
        <v/>
      </c>
      <c r="Q57">
        <f>IF(INDEX('Data'!$D$6:$F$205,48,'Summary'!$P$5)="",NA(),INDEX('Data'!$D$6:$F$205,48,'Summary'!$P$5))</f>
        <v/>
      </c>
      <c r="R57">
        <f>$C$6</f>
        <v/>
      </c>
      <c r="S57">
        <f>IF(ISNA(Q57),"",IF(Q57&gt;$C$6,1,IF(Q57&lt;$C$6,-1,"")))</f>
        <v/>
      </c>
    </row>
    <row r="58">
      <c r="P58">
        <f>IF(INDEX('Data'!$D$6:$F$205,49,'Summary'!$P$5)="",NA(),49)</f>
        <v/>
      </c>
      <c r="Q58">
        <f>IF(INDEX('Data'!$D$6:$F$205,49,'Summary'!$P$5)="",NA(),INDEX('Data'!$D$6:$F$205,49,'Summary'!$P$5))</f>
        <v/>
      </c>
      <c r="R58">
        <f>$C$6</f>
        <v/>
      </c>
      <c r="S58">
        <f>IF(ISNA(Q58),"",IF(Q58&gt;$C$6,1,IF(Q58&lt;$C$6,-1,"")))</f>
        <v/>
      </c>
    </row>
    <row r="59">
      <c r="P59">
        <f>IF(INDEX('Data'!$D$6:$F$205,50,'Summary'!$P$5)="",NA(),50)</f>
        <v/>
      </c>
      <c r="Q59">
        <f>IF(INDEX('Data'!$D$6:$F$205,50,'Summary'!$P$5)="",NA(),INDEX('Data'!$D$6:$F$205,50,'Summary'!$P$5))</f>
        <v/>
      </c>
      <c r="R59">
        <f>$C$6</f>
        <v/>
      </c>
      <c r="S59">
        <f>IF(ISNA(Q59),"",IF(Q59&gt;$C$6,1,IF(Q59&lt;$C$6,-1,"")))</f>
        <v/>
      </c>
    </row>
    <row r="60">
      <c r="P60">
        <f>IF(INDEX('Data'!$D$6:$F$205,51,'Summary'!$P$5)="",NA(),51)</f>
        <v/>
      </c>
      <c r="Q60">
        <f>IF(INDEX('Data'!$D$6:$F$205,51,'Summary'!$P$5)="",NA(),INDEX('Data'!$D$6:$F$205,51,'Summary'!$P$5))</f>
        <v/>
      </c>
      <c r="R60">
        <f>$C$6</f>
        <v/>
      </c>
      <c r="S60">
        <f>IF(ISNA(Q60),"",IF(Q60&gt;$C$6,1,IF(Q60&lt;$C$6,-1,"")))</f>
        <v/>
      </c>
    </row>
    <row r="61">
      <c r="P61">
        <f>IF(INDEX('Data'!$D$6:$F$205,52,'Summary'!$P$5)="",NA(),52)</f>
        <v/>
      </c>
      <c r="Q61">
        <f>IF(INDEX('Data'!$D$6:$F$205,52,'Summary'!$P$5)="",NA(),INDEX('Data'!$D$6:$F$205,52,'Summary'!$P$5))</f>
        <v/>
      </c>
      <c r="R61">
        <f>$C$6</f>
        <v/>
      </c>
      <c r="S61">
        <f>IF(ISNA(Q61),"",IF(Q61&gt;$C$6,1,IF(Q61&lt;$C$6,-1,"")))</f>
        <v/>
      </c>
    </row>
    <row r="62">
      <c r="P62">
        <f>IF(INDEX('Data'!$D$6:$F$205,53,'Summary'!$P$5)="",NA(),53)</f>
        <v/>
      </c>
      <c r="Q62">
        <f>IF(INDEX('Data'!$D$6:$F$205,53,'Summary'!$P$5)="",NA(),INDEX('Data'!$D$6:$F$205,53,'Summary'!$P$5))</f>
        <v/>
      </c>
      <c r="R62">
        <f>$C$6</f>
        <v/>
      </c>
      <c r="S62">
        <f>IF(ISNA(Q62),"",IF(Q62&gt;$C$6,1,IF(Q62&lt;$C$6,-1,"")))</f>
        <v/>
      </c>
    </row>
    <row r="63">
      <c r="P63">
        <f>IF(INDEX('Data'!$D$6:$F$205,54,'Summary'!$P$5)="",NA(),54)</f>
        <v/>
      </c>
      <c r="Q63">
        <f>IF(INDEX('Data'!$D$6:$F$205,54,'Summary'!$P$5)="",NA(),INDEX('Data'!$D$6:$F$205,54,'Summary'!$P$5))</f>
        <v/>
      </c>
      <c r="R63">
        <f>$C$6</f>
        <v/>
      </c>
      <c r="S63">
        <f>IF(ISNA(Q63),"",IF(Q63&gt;$C$6,1,IF(Q63&lt;$C$6,-1,"")))</f>
        <v/>
      </c>
    </row>
    <row r="64">
      <c r="P64">
        <f>IF(INDEX('Data'!$D$6:$F$205,55,'Summary'!$P$5)="",NA(),55)</f>
        <v/>
      </c>
      <c r="Q64">
        <f>IF(INDEX('Data'!$D$6:$F$205,55,'Summary'!$P$5)="",NA(),INDEX('Data'!$D$6:$F$205,55,'Summary'!$P$5))</f>
        <v/>
      </c>
      <c r="R64">
        <f>$C$6</f>
        <v/>
      </c>
      <c r="S64">
        <f>IF(ISNA(Q64),"",IF(Q64&gt;$C$6,1,IF(Q64&lt;$C$6,-1,"")))</f>
        <v/>
      </c>
    </row>
    <row r="65">
      <c r="P65">
        <f>IF(INDEX('Data'!$D$6:$F$205,56,'Summary'!$P$5)="",NA(),56)</f>
        <v/>
      </c>
      <c r="Q65">
        <f>IF(INDEX('Data'!$D$6:$F$205,56,'Summary'!$P$5)="",NA(),INDEX('Data'!$D$6:$F$205,56,'Summary'!$P$5))</f>
        <v/>
      </c>
      <c r="R65">
        <f>$C$6</f>
        <v/>
      </c>
      <c r="S65">
        <f>IF(ISNA(Q65),"",IF(Q65&gt;$C$6,1,IF(Q65&lt;$C$6,-1,"")))</f>
        <v/>
      </c>
    </row>
    <row r="66">
      <c r="P66">
        <f>IF(INDEX('Data'!$D$6:$F$205,57,'Summary'!$P$5)="",NA(),57)</f>
        <v/>
      </c>
      <c r="Q66">
        <f>IF(INDEX('Data'!$D$6:$F$205,57,'Summary'!$P$5)="",NA(),INDEX('Data'!$D$6:$F$205,57,'Summary'!$P$5))</f>
        <v/>
      </c>
      <c r="R66">
        <f>$C$6</f>
        <v/>
      </c>
      <c r="S66">
        <f>IF(ISNA(Q66),"",IF(Q66&gt;$C$6,1,IF(Q66&lt;$C$6,-1,"")))</f>
        <v/>
      </c>
    </row>
    <row r="67">
      <c r="P67">
        <f>IF(INDEX('Data'!$D$6:$F$205,58,'Summary'!$P$5)="",NA(),58)</f>
        <v/>
      </c>
      <c r="Q67">
        <f>IF(INDEX('Data'!$D$6:$F$205,58,'Summary'!$P$5)="",NA(),INDEX('Data'!$D$6:$F$205,58,'Summary'!$P$5))</f>
        <v/>
      </c>
      <c r="R67">
        <f>$C$6</f>
        <v/>
      </c>
      <c r="S67">
        <f>IF(ISNA(Q67),"",IF(Q67&gt;$C$6,1,IF(Q67&lt;$C$6,-1,"")))</f>
        <v/>
      </c>
    </row>
    <row r="68">
      <c r="P68">
        <f>IF(INDEX('Data'!$D$6:$F$205,59,'Summary'!$P$5)="",NA(),59)</f>
        <v/>
      </c>
      <c r="Q68">
        <f>IF(INDEX('Data'!$D$6:$F$205,59,'Summary'!$P$5)="",NA(),INDEX('Data'!$D$6:$F$205,59,'Summary'!$P$5))</f>
        <v/>
      </c>
      <c r="R68">
        <f>$C$6</f>
        <v/>
      </c>
      <c r="S68">
        <f>IF(ISNA(Q68),"",IF(Q68&gt;$C$6,1,IF(Q68&lt;$C$6,-1,"")))</f>
        <v/>
      </c>
    </row>
    <row r="69">
      <c r="P69">
        <f>IF(INDEX('Data'!$D$6:$F$205,60,'Summary'!$P$5)="",NA(),60)</f>
        <v/>
      </c>
      <c r="Q69">
        <f>IF(INDEX('Data'!$D$6:$F$205,60,'Summary'!$P$5)="",NA(),INDEX('Data'!$D$6:$F$205,60,'Summary'!$P$5))</f>
        <v/>
      </c>
      <c r="R69">
        <f>$C$6</f>
        <v/>
      </c>
      <c r="S69">
        <f>IF(ISNA(Q69),"",IF(Q69&gt;$C$6,1,IF(Q69&lt;$C$6,-1,"")))</f>
        <v/>
      </c>
    </row>
    <row r="70">
      <c r="P70">
        <f>IF(INDEX('Data'!$D$6:$F$205,61,'Summary'!$P$5)="",NA(),61)</f>
        <v/>
      </c>
      <c r="Q70">
        <f>IF(INDEX('Data'!$D$6:$F$205,61,'Summary'!$P$5)="",NA(),INDEX('Data'!$D$6:$F$205,61,'Summary'!$P$5))</f>
        <v/>
      </c>
      <c r="R70">
        <f>$C$6</f>
        <v/>
      </c>
      <c r="S70">
        <f>IF(ISNA(Q70),"",IF(Q70&gt;$C$6,1,IF(Q70&lt;$C$6,-1,"")))</f>
        <v/>
      </c>
    </row>
    <row r="71">
      <c r="P71">
        <f>IF(INDEX('Data'!$D$6:$F$205,62,'Summary'!$P$5)="",NA(),62)</f>
        <v/>
      </c>
      <c r="Q71">
        <f>IF(INDEX('Data'!$D$6:$F$205,62,'Summary'!$P$5)="",NA(),INDEX('Data'!$D$6:$F$205,62,'Summary'!$P$5))</f>
        <v/>
      </c>
      <c r="R71">
        <f>$C$6</f>
        <v/>
      </c>
      <c r="S71">
        <f>IF(ISNA(Q71),"",IF(Q71&gt;$C$6,1,IF(Q71&lt;$C$6,-1,"")))</f>
        <v/>
      </c>
    </row>
    <row r="72">
      <c r="P72">
        <f>IF(INDEX('Data'!$D$6:$F$205,63,'Summary'!$P$5)="",NA(),63)</f>
        <v/>
      </c>
      <c r="Q72">
        <f>IF(INDEX('Data'!$D$6:$F$205,63,'Summary'!$P$5)="",NA(),INDEX('Data'!$D$6:$F$205,63,'Summary'!$P$5))</f>
        <v/>
      </c>
      <c r="R72">
        <f>$C$6</f>
        <v/>
      </c>
      <c r="S72">
        <f>IF(ISNA(Q72),"",IF(Q72&gt;$C$6,1,IF(Q72&lt;$C$6,-1,"")))</f>
        <v/>
      </c>
    </row>
    <row r="73">
      <c r="P73">
        <f>IF(INDEX('Data'!$D$6:$F$205,64,'Summary'!$P$5)="",NA(),64)</f>
        <v/>
      </c>
      <c r="Q73">
        <f>IF(INDEX('Data'!$D$6:$F$205,64,'Summary'!$P$5)="",NA(),INDEX('Data'!$D$6:$F$205,64,'Summary'!$P$5))</f>
        <v/>
      </c>
      <c r="R73">
        <f>$C$6</f>
        <v/>
      </c>
      <c r="S73">
        <f>IF(ISNA(Q73),"",IF(Q73&gt;$C$6,1,IF(Q73&lt;$C$6,-1,"")))</f>
        <v/>
      </c>
    </row>
    <row r="74">
      <c r="P74">
        <f>IF(INDEX('Data'!$D$6:$F$205,65,'Summary'!$P$5)="",NA(),65)</f>
        <v/>
      </c>
      <c r="Q74">
        <f>IF(INDEX('Data'!$D$6:$F$205,65,'Summary'!$P$5)="",NA(),INDEX('Data'!$D$6:$F$205,65,'Summary'!$P$5))</f>
        <v/>
      </c>
      <c r="R74">
        <f>$C$6</f>
        <v/>
      </c>
      <c r="S74">
        <f>IF(ISNA(Q74),"",IF(Q74&gt;$C$6,1,IF(Q74&lt;$C$6,-1,"")))</f>
        <v/>
      </c>
    </row>
    <row r="75">
      <c r="P75">
        <f>IF(INDEX('Data'!$D$6:$F$205,66,'Summary'!$P$5)="",NA(),66)</f>
        <v/>
      </c>
      <c r="Q75">
        <f>IF(INDEX('Data'!$D$6:$F$205,66,'Summary'!$P$5)="",NA(),INDEX('Data'!$D$6:$F$205,66,'Summary'!$P$5))</f>
        <v/>
      </c>
      <c r="R75">
        <f>$C$6</f>
        <v/>
      </c>
      <c r="S75">
        <f>IF(ISNA(Q75),"",IF(Q75&gt;$C$6,1,IF(Q75&lt;$C$6,-1,"")))</f>
        <v/>
      </c>
    </row>
    <row r="76">
      <c r="P76">
        <f>IF(INDEX('Data'!$D$6:$F$205,67,'Summary'!$P$5)="",NA(),67)</f>
        <v/>
      </c>
      <c r="Q76">
        <f>IF(INDEX('Data'!$D$6:$F$205,67,'Summary'!$P$5)="",NA(),INDEX('Data'!$D$6:$F$205,67,'Summary'!$P$5))</f>
        <v/>
      </c>
      <c r="R76">
        <f>$C$6</f>
        <v/>
      </c>
      <c r="S76">
        <f>IF(ISNA(Q76),"",IF(Q76&gt;$C$6,1,IF(Q76&lt;$C$6,-1,"")))</f>
        <v/>
      </c>
    </row>
    <row r="77">
      <c r="P77">
        <f>IF(INDEX('Data'!$D$6:$F$205,68,'Summary'!$P$5)="",NA(),68)</f>
        <v/>
      </c>
      <c r="Q77">
        <f>IF(INDEX('Data'!$D$6:$F$205,68,'Summary'!$P$5)="",NA(),INDEX('Data'!$D$6:$F$205,68,'Summary'!$P$5))</f>
        <v/>
      </c>
      <c r="R77">
        <f>$C$6</f>
        <v/>
      </c>
      <c r="S77">
        <f>IF(ISNA(Q77),"",IF(Q77&gt;$C$6,1,IF(Q77&lt;$C$6,-1,"")))</f>
        <v/>
      </c>
    </row>
    <row r="78">
      <c r="P78">
        <f>IF(INDEX('Data'!$D$6:$F$205,69,'Summary'!$P$5)="",NA(),69)</f>
        <v/>
      </c>
      <c r="Q78">
        <f>IF(INDEX('Data'!$D$6:$F$205,69,'Summary'!$P$5)="",NA(),INDEX('Data'!$D$6:$F$205,69,'Summary'!$P$5))</f>
        <v/>
      </c>
      <c r="R78">
        <f>$C$6</f>
        <v/>
      </c>
      <c r="S78">
        <f>IF(ISNA(Q78),"",IF(Q78&gt;$C$6,1,IF(Q78&lt;$C$6,-1,"")))</f>
        <v/>
      </c>
    </row>
    <row r="79">
      <c r="P79">
        <f>IF(INDEX('Data'!$D$6:$F$205,70,'Summary'!$P$5)="",NA(),70)</f>
        <v/>
      </c>
      <c r="Q79">
        <f>IF(INDEX('Data'!$D$6:$F$205,70,'Summary'!$P$5)="",NA(),INDEX('Data'!$D$6:$F$205,70,'Summary'!$P$5))</f>
        <v/>
      </c>
      <c r="R79">
        <f>$C$6</f>
        <v/>
      </c>
      <c r="S79">
        <f>IF(ISNA(Q79),"",IF(Q79&gt;$C$6,1,IF(Q79&lt;$C$6,-1,"")))</f>
        <v/>
      </c>
    </row>
    <row r="80">
      <c r="P80">
        <f>IF(INDEX('Data'!$D$6:$F$205,71,'Summary'!$P$5)="",NA(),71)</f>
        <v/>
      </c>
      <c r="Q80">
        <f>IF(INDEX('Data'!$D$6:$F$205,71,'Summary'!$P$5)="",NA(),INDEX('Data'!$D$6:$F$205,71,'Summary'!$P$5))</f>
        <v/>
      </c>
      <c r="R80">
        <f>$C$6</f>
        <v/>
      </c>
      <c r="S80">
        <f>IF(ISNA(Q80),"",IF(Q80&gt;$C$6,1,IF(Q80&lt;$C$6,-1,"")))</f>
        <v/>
      </c>
    </row>
    <row r="81">
      <c r="P81">
        <f>IF(INDEX('Data'!$D$6:$F$205,72,'Summary'!$P$5)="",NA(),72)</f>
        <v/>
      </c>
      <c r="Q81">
        <f>IF(INDEX('Data'!$D$6:$F$205,72,'Summary'!$P$5)="",NA(),INDEX('Data'!$D$6:$F$205,72,'Summary'!$P$5))</f>
        <v/>
      </c>
      <c r="R81">
        <f>$C$6</f>
        <v/>
      </c>
      <c r="S81">
        <f>IF(ISNA(Q81),"",IF(Q81&gt;$C$6,1,IF(Q81&lt;$C$6,-1,"")))</f>
        <v/>
      </c>
    </row>
    <row r="82">
      <c r="P82">
        <f>IF(INDEX('Data'!$D$6:$F$205,73,'Summary'!$P$5)="",NA(),73)</f>
        <v/>
      </c>
      <c r="Q82">
        <f>IF(INDEX('Data'!$D$6:$F$205,73,'Summary'!$P$5)="",NA(),INDEX('Data'!$D$6:$F$205,73,'Summary'!$P$5))</f>
        <v/>
      </c>
      <c r="R82">
        <f>$C$6</f>
        <v/>
      </c>
      <c r="S82">
        <f>IF(ISNA(Q82),"",IF(Q82&gt;$C$6,1,IF(Q82&lt;$C$6,-1,"")))</f>
        <v/>
      </c>
    </row>
    <row r="83">
      <c r="P83">
        <f>IF(INDEX('Data'!$D$6:$F$205,74,'Summary'!$P$5)="",NA(),74)</f>
        <v/>
      </c>
      <c r="Q83">
        <f>IF(INDEX('Data'!$D$6:$F$205,74,'Summary'!$P$5)="",NA(),INDEX('Data'!$D$6:$F$205,74,'Summary'!$P$5))</f>
        <v/>
      </c>
      <c r="R83">
        <f>$C$6</f>
        <v/>
      </c>
      <c r="S83">
        <f>IF(ISNA(Q83),"",IF(Q83&gt;$C$6,1,IF(Q83&lt;$C$6,-1,"")))</f>
        <v/>
      </c>
    </row>
    <row r="84">
      <c r="P84">
        <f>IF(INDEX('Data'!$D$6:$F$205,75,'Summary'!$P$5)="",NA(),75)</f>
        <v/>
      </c>
      <c r="Q84">
        <f>IF(INDEX('Data'!$D$6:$F$205,75,'Summary'!$P$5)="",NA(),INDEX('Data'!$D$6:$F$205,75,'Summary'!$P$5))</f>
        <v/>
      </c>
      <c r="R84">
        <f>$C$6</f>
        <v/>
      </c>
      <c r="S84">
        <f>IF(ISNA(Q84),"",IF(Q84&gt;$C$6,1,IF(Q84&lt;$C$6,-1,"")))</f>
        <v/>
      </c>
    </row>
    <row r="85">
      <c r="P85">
        <f>IF(INDEX('Data'!$D$6:$F$205,76,'Summary'!$P$5)="",NA(),76)</f>
        <v/>
      </c>
      <c r="Q85">
        <f>IF(INDEX('Data'!$D$6:$F$205,76,'Summary'!$P$5)="",NA(),INDEX('Data'!$D$6:$F$205,76,'Summary'!$P$5))</f>
        <v/>
      </c>
      <c r="R85">
        <f>$C$6</f>
        <v/>
      </c>
      <c r="S85">
        <f>IF(ISNA(Q85),"",IF(Q85&gt;$C$6,1,IF(Q85&lt;$C$6,-1,"")))</f>
        <v/>
      </c>
    </row>
    <row r="86">
      <c r="P86">
        <f>IF(INDEX('Data'!$D$6:$F$205,77,'Summary'!$P$5)="",NA(),77)</f>
        <v/>
      </c>
      <c r="Q86">
        <f>IF(INDEX('Data'!$D$6:$F$205,77,'Summary'!$P$5)="",NA(),INDEX('Data'!$D$6:$F$205,77,'Summary'!$P$5))</f>
        <v/>
      </c>
      <c r="R86">
        <f>$C$6</f>
        <v/>
      </c>
      <c r="S86">
        <f>IF(ISNA(Q86),"",IF(Q86&gt;$C$6,1,IF(Q86&lt;$C$6,-1,"")))</f>
        <v/>
      </c>
    </row>
    <row r="87">
      <c r="P87">
        <f>IF(INDEX('Data'!$D$6:$F$205,78,'Summary'!$P$5)="",NA(),78)</f>
        <v/>
      </c>
      <c r="Q87">
        <f>IF(INDEX('Data'!$D$6:$F$205,78,'Summary'!$P$5)="",NA(),INDEX('Data'!$D$6:$F$205,78,'Summary'!$P$5))</f>
        <v/>
      </c>
      <c r="R87">
        <f>$C$6</f>
        <v/>
      </c>
      <c r="S87">
        <f>IF(ISNA(Q87),"",IF(Q87&gt;$C$6,1,IF(Q87&lt;$C$6,-1,"")))</f>
        <v/>
      </c>
    </row>
    <row r="88">
      <c r="P88">
        <f>IF(INDEX('Data'!$D$6:$F$205,79,'Summary'!$P$5)="",NA(),79)</f>
        <v/>
      </c>
      <c r="Q88">
        <f>IF(INDEX('Data'!$D$6:$F$205,79,'Summary'!$P$5)="",NA(),INDEX('Data'!$D$6:$F$205,79,'Summary'!$P$5))</f>
        <v/>
      </c>
      <c r="R88">
        <f>$C$6</f>
        <v/>
      </c>
      <c r="S88">
        <f>IF(ISNA(Q88),"",IF(Q88&gt;$C$6,1,IF(Q88&lt;$C$6,-1,"")))</f>
        <v/>
      </c>
    </row>
    <row r="89">
      <c r="P89">
        <f>IF(INDEX('Data'!$D$6:$F$205,80,'Summary'!$P$5)="",NA(),80)</f>
        <v/>
      </c>
      <c r="Q89">
        <f>IF(INDEX('Data'!$D$6:$F$205,80,'Summary'!$P$5)="",NA(),INDEX('Data'!$D$6:$F$205,80,'Summary'!$P$5))</f>
        <v/>
      </c>
      <c r="R89">
        <f>$C$6</f>
        <v/>
      </c>
      <c r="S89">
        <f>IF(ISNA(Q89),"",IF(Q89&gt;$C$6,1,IF(Q89&lt;$C$6,-1,"")))</f>
        <v/>
      </c>
    </row>
    <row r="90">
      <c r="P90">
        <f>IF(INDEX('Data'!$D$6:$F$205,81,'Summary'!$P$5)="",NA(),81)</f>
        <v/>
      </c>
      <c r="Q90">
        <f>IF(INDEX('Data'!$D$6:$F$205,81,'Summary'!$P$5)="",NA(),INDEX('Data'!$D$6:$F$205,81,'Summary'!$P$5))</f>
        <v/>
      </c>
      <c r="R90">
        <f>$C$6</f>
        <v/>
      </c>
      <c r="S90">
        <f>IF(ISNA(Q90),"",IF(Q90&gt;$C$6,1,IF(Q90&lt;$C$6,-1,"")))</f>
        <v/>
      </c>
    </row>
    <row r="91">
      <c r="P91">
        <f>IF(INDEX('Data'!$D$6:$F$205,82,'Summary'!$P$5)="",NA(),82)</f>
        <v/>
      </c>
      <c r="Q91">
        <f>IF(INDEX('Data'!$D$6:$F$205,82,'Summary'!$P$5)="",NA(),INDEX('Data'!$D$6:$F$205,82,'Summary'!$P$5))</f>
        <v/>
      </c>
      <c r="R91">
        <f>$C$6</f>
        <v/>
      </c>
      <c r="S91">
        <f>IF(ISNA(Q91),"",IF(Q91&gt;$C$6,1,IF(Q91&lt;$C$6,-1,"")))</f>
        <v/>
      </c>
    </row>
    <row r="92">
      <c r="P92">
        <f>IF(INDEX('Data'!$D$6:$F$205,83,'Summary'!$P$5)="",NA(),83)</f>
        <v/>
      </c>
      <c r="Q92">
        <f>IF(INDEX('Data'!$D$6:$F$205,83,'Summary'!$P$5)="",NA(),INDEX('Data'!$D$6:$F$205,83,'Summary'!$P$5))</f>
        <v/>
      </c>
      <c r="R92">
        <f>$C$6</f>
        <v/>
      </c>
      <c r="S92">
        <f>IF(ISNA(Q92),"",IF(Q92&gt;$C$6,1,IF(Q92&lt;$C$6,-1,"")))</f>
        <v/>
      </c>
    </row>
    <row r="93">
      <c r="P93">
        <f>IF(INDEX('Data'!$D$6:$F$205,84,'Summary'!$P$5)="",NA(),84)</f>
        <v/>
      </c>
      <c r="Q93">
        <f>IF(INDEX('Data'!$D$6:$F$205,84,'Summary'!$P$5)="",NA(),INDEX('Data'!$D$6:$F$205,84,'Summary'!$P$5))</f>
        <v/>
      </c>
      <c r="R93">
        <f>$C$6</f>
        <v/>
      </c>
      <c r="S93">
        <f>IF(ISNA(Q93),"",IF(Q93&gt;$C$6,1,IF(Q93&lt;$C$6,-1,"")))</f>
        <v/>
      </c>
    </row>
    <row r="94">
      <c r="P94">
        <f>IF(INDEX('Data'!$D$6:$F$205,85,'Summary'!$P$5)="",NA(),85)</f>
        <v/>
      </c>
      <c r="Q94">
        <f>IF(INDEX('Data'!$D$6:$F$205,85,'Summary'!$P$5)="",NA(),INDEX('Data'!$D$6:$F$205,85,'Summary'!$P$5))</f>
        <v/>
      </c>
      <c r="R94">
        <f>$C$6</f>
        <v/>
      </c>
      <c r="S94">
        <f>IF(ISNA(Q94),"",IF(Q94&gt;$C$6,1,IF(Q94&lt;$C$6,-1,"")))</f>
        <v/>
      </c>
    </row>
    <row r="95">
      <c r="P95">
        <f>IF(INDEX('Data'!$D$6:$F$205,86,'Summary'!$P$5)="",NA(),86)</f>
        <v/>
      </c>
      <c r="Q95">
        <f>IF(INDEX('Data'!$D$6:$F$205,86,'Summary'!$P$5)="",NA(),INDEX('Data'!$D$6:$F$205,86,'Summary'!$P$5))</f>
        <v/>
      </c>
      <c r="R95">
        <f>$C$6</f>
        <v/>
      </c>
      <c r="S95">
        <f>IF(ISNA(Q95),"",IF(Q95&gt;$C$6,1,IF(Q95&lt;$C$6,-1,"")))</f>
        <v/>
      </c>
    </row>
    <row r="96">
      <c r="P96">
        <f>IF(INDEX('Data'!$D$6:$F$205,87,'Summary'!$P$5)="",NA(),87)</f>
        <v/>
      </c>
      <c r="Q96">
        <f>IF(INDEX('Data'!$D$6:$F$205,87,'Summary'!$P$5)="",NA(),INDEX('Data'!$D$6:$F$205,87,'Summary'!$P$5))</f>
        <v/>
      </c>
      <c r="R96">
        <f>$C$6</f>
        <v/>
      </c>
      <c r="S96">
        <f>IF(ISNA(Q96),"",IF(Q96&gt;$C$6,1,IF(Q96&lt;$C$6,-1,"")))</f>
        <v/>
      </c>
    </row>
    <row r="97">
      <c r="P97">
        <f>IF(INDEX('Data'!$D$6:$F$205,88,'Summary'!$P$5)="",NA(),88)</f>
        <v/>
      </c>
      <c r="Q97">
        <f>IF(INDEX('Data'!$D$6:$F$205,88,'Summary'!$P$5)="",NA(),INDEX('Data'!$D$6:$F$205,88,'Summary'!$P$5))</f>
        <v/>
      </c>
      <c r="R97">
        <f>$C$6</f>
        <v/>
      </c>
      <c r="S97">
        <f>IF(ISNA(Q97),"",IF(Q97&gt;$C$6,1,IF(Q97&lt;$C$6,-1,"")))</f>
        <v/>
      </c>
    </row>
    <row r="98">
      <c r="P98">
        <f>IF(INDEX('Data'!$D$6:$F$205,89,'Summary'!$P$5)="",NA(),89)</f>
        <v/>
      </c>
      <c r="Q98">
        <f>IF(INDEX('Data'!$D$6:$F$205,89,'Summary'!$P$5)="",NA(),INDEX('Data'!$D$6:$F$205,89,'Summary'!$P$5))</f>
        <v/>
      </c>
      <c r="R98">
        <f>$C$6</f>
        <v/>
      </c>
      <c r="S98">
        <f>IF(ISNA(Q98),"",IF(Q98&gt;$C$6,1,IF(Q98&lt;$C$6,-1,"")))</f>
        <v/>
      </c>
    </row>
    <row r="99">
      <c r="P99">
        <f>IF(INDEX('Data'!$D$6:$F$205,90,'Summary'!$P$5)="",NA(),90)</f>
        <v/>
      </c>
      <c r="Q99">
        <f>IF(INDEX('Data'!$D$6:$F$205,90,'Summary'!$P$5)="",NA(),INDEX('Data'!$D$6:$F$205,90,'Summary'!$P$5))</f>
        <v/>
      </c>
      <c r="R99">
        <f>$C$6</f>
        <v/>
      </c>
      <c r="S99">
        <f>IF(ISNA(Q99),"",IF(Q99&gt;$C$6,1,IF(Q99&lt;$C$6,-1,"")))</f>
        <v/>
      </c>
    </row>
    <row r="100">
      <c r="P100">
        <f>IF(INDEX('Data'!$D$6:$F$205,91,'Summary'!$P$5)="",NA(),91)</f>
        <v/>
      </c>
      <c r="Q100">
        <f>IF(INDEX('Data'!$D$6:$F$205,91,'Summary'!$P$5)="",NA(),INDEX('Data'!$D$6:$F$205,91,'Summary'!$P$5))</f>
        <v/>
      </c>
      <c r="R100">
        <f>$C$6</f>
        <v/>
      </c>
      <c r="S100">
        <f>IF(ISNA(Q100),"",IF(Q100&gt;$C$6,1,IF(Q100&lt;$C$6,-1,"")))</f>
        <v/>
      </c>
    </row>
    <row r="101">
      <c r="P101">
        <f>IF(INDEX('Data'!$D$6:$F$205,92,'Summary'!$P$5)="",NA(),92)</f>
        <v/>
      </c>
      <c r="Q101">
        <f>IF(INDEX('Data'!$D$6:$F$205,92,'Summary'!$P$5)="",NA(),INDEX('Data'!$D$6:$F$205,92,'Summary'!$P$5))</f>
        <v/>
      </c>
      <c r="R101">
        <f>$C$6</f>
        <v/>
      </c>
      <c r="S101">
        <f>IF(ISNA(Q101),"",IF(Q101&gt;$C$6,1,IF(Q101&lt;$C$6,-1,"")))</f>
        <v/>
      </c>
    </row>
    <row r="102">
      <c r="P102">
        <f>IF(INDEX('Data'!$D$6:$F$205,93,'Summary'!$P$5)="",NA(),93)</f>
        <v/>
      </c>
      <c r="Q102">
        <f>IF(INDEX('Data'!$D$6:$F$205,93,'Summary'!$P$5)="",NA(),INDEX('Data'!$D$6:$F$205,93,'Summary'!$P$5))</f>
        <v/>
      </c>
      <c r="R102">
        <f>$C$6</f>
        <v/>
      </c>
      <c r="S102">
        <f>IF(ISNA(Q102),"",IF(Q102&gt;$C$6,1,IF(Q102&lt;$C$6,-1,"")))</f>
        <v/>
      </c>
    </row>
    <row r="103">
      <c r="P103">
        <f>IF(INDEX('Data'!$D$6:$F$205,94,'Summary'!$P$5)="",NA(),94)</f>
        <v/>
      </c>
      <c r="Q103">
        <f>IF(INDEX('Data'!$D$6:$F$205,94,'Summary'!$P$5)="",NA(),INDEX('Data'!$D$6:$F$205,94,'Summary'!$P$5))</f>
        <v/>
      </c>
      <c r="R103">
        <f>$C$6</f>
        <v/>
      </c>
      <c r="S103">
        <f>IF(ISNA(Q103),"",IF(Q103&gt;$C$6,1,IF(Q103&lt;$C$6,-1,"")))</f>
        <v/>
      </c>
    </row>
    <row r="104">
      <c r="P104">
        <f>IF(INDEX('Data'!$D$6:$F$205,95,'Summary'!$P$5)="",NA(),95)</f>
        <v/>
      </c>
      <c r="Q104">
        <f>IF(INDEX('Data'!$D$6:$F$205,95,'Summary'!$P$5)="",NA(),INDEX('Data'!$D$6:$F$205,95,'Summary'!$P$5))</f>
        <v/>
      </c>
      <c r="R104">
        <f>$C$6</f>
        <v/>
      </c>
      <c r="S104">
        <f>IF(ISNA(Q104),"",IF(Q104&gt;$C$6,1,IF(Q104&lt;$C$6,-1,"")))</f>
        <v/>
      </c>
    </row>
    <row r="105">
      <c r="P105">
        <f>IF(INDEX('Data'!$D$6:$F$205,96,'Summary'!$P$5)="",NA(),96)</f>
        <v/>
      </c>
      <c r="Q105">
        <f>IF(INDEX('Data'!$D$6:$F$205,96,'Summary'!$P$5)="",NA(),INDEX('Data'!$D$6:$F$205,96,'Summary'!$P$5))</f>
        <v/>
      </c>
      <c r="R105">
        <f>$C$6</f>
        <v/>
      </c>
      <c r="S105">
        <f>IF(ISNA(Q105),"",IF(Q105&gt;$C$6,1,IF(Q105&lt;$C$6,-1,"")))</f>
        <v/>
      </c>
    </row>
    <row r="106">
      <c r="P106">
        <f>IF(INDEX('Data'!$D$6:$F$205,97,'Summary'!$P$5)="",NA(),97)</f>
        <v/>
      </c>
      <c r="Q106">
        <f>IF(INDEX('Data'!$D$6:$F$205,97,'Summary'!$P$5)="",NA(),INDEX('Data'!$D$6:$F$205,97,'Summary'!$P$5))</f>
        <v/>
      </c>
      <c r="R106">
        <f>$C$6</f>
        <v/>
      </c>
      <c r="S106">
        <f>IF(ISNA(Q106),"",IF(Q106&gt;$C$6,1,IF(Q106&lt;$C$6,-1,"")))</f>
        <v/>
      </c>
    </row>
    <row r="107">
      <c r="P107">
        <f>IF(INDEX('Data'!$D$6:$F$205,98,'Summary'!$P$5)="",NA(),98)</f>
        <v/>
      </c>
      <c r="Q107">
        <f>IF(INDEX('Data'!$D$6:$F$205,98,'Summary'!$P$5)="",NA(),INDEX('Data'!$D$6:$F$205,98,'Summary'!$P$5))</f>
        <v/>
      </c>
      <c r="R107">
        <f>$C$6</f>
        <v/>
      </c>
      <c r="S107">
        <f>IF(ISNA(Q107),"",IF(Q107&gt;$C$6,1,IF(Q107&lt;$C$6,-1,"")))</f>
        <v/>
      </c>
    </row>
    <row r="108">
      <c r="P108">
        <f>IF(INDEX('Data'!$D$6:$F$205,99,'Summary'!$P$5)="",NA(),99)</f>
        <v/>
      </c>
      <c r="Q108">
        <f>IF(INDEX('Data'!$D$6:$F$205,99,'Summary'!$P$5)="",NA(),INDEX('Data'!$D$6:$F$205,99,'Summary'!$P$5))</f>
        <v/>
      </c>
      <c r="R108">
        <f>$C$6</f>
        <v/>
      </c>
      <c r="S108">
        <f>IF(ISNA(Q108),"",IF(Q108&gt;$C$6,1,IF(Q108&lt;$C$6,-1,"")))</f>
        <v/>
      </c>
    </row>
    <row r="109">
      <c r="P109">
        <f>IF(INDEX('Data'!$D$6:$F$205,100,'Summary'!$P$5)="",NA(),100)</f>
        <v/>
      </c>
      <c r="Q109">
        <f>IF(INDEX('Data'!$D$6:$F$205,100,'Summary'!$P$5)="",NA(),INDEX('Data'!$D$6:$F$205,100,'Summary'!$P$5))</f>
        <v/>
      </c>
      <c r="R109">
        <f>$C$6</f>
        <v/>
      </c>
      <c r="S109">
        <f>IF(ISNA(Q109),"",IF(Q109&gt;$C$6,1,IF(Q109&lt;$C$6,-1,"")))</f>
        <v/>
      </c>
    </row>
    <row r="110">
      <c r="P110">
        <f>IF(INDEX('Data'!$D$6:$F$205,101,'Summary'!$P$5)="",NA(),101)</f>
        <v/>
      </c>
      <c r="Q110">
        <f>IF(INDEX('Data'!$D$6:$F$205,101,'Summary'!$P$5)="",NA(),INDEX('Data'!$D$6:$F$205,101,'Summary'!$P$5))</f>
        <v/>
      </c>
      <c r="R110">
        <f>$C$6</f>
        <v/>
      </c>
      <c r="S110">
        <f>IF(ISNA(Q110),"",IF(Q110&gt;$C$6,1,IF(Q110&lt;$C$6,-1,"")))</f>
        <v/>
      </c>
    </row>
    <row r="111">
      <c r="P111">
        <f>IF(INDEX('Data'!$D$6:$F$205,102,'Summary'!$P$5)="",NA(),102)</f>
        <v/>
      </c>
      <c r="Q111">
        <f>IF(INDEX('Data'!$D$6:$F$205,102,'Summary'!$P$5)="",NA(),INDEX('Data'!$D$6:$F$205,102,'Summary'!$P$5))</f>
        <v/>
      </c>
      <c r="R111">
        <f>$C$6</f>
        <v/>
      </c>
      <c r="S111">
        <f>IF(ISNA(Q111),"",IF(Q111&gt;$C$6,1,IF(Q111&lt;$C$6,-1,"")))</f>
        <v/>
      </c>
    </row>
    <row r="112">
      <c r="P112">
        <f>IF(INDEX('Data'!$D$6:$F$205,103,'Summary'!$P$5)="",NA(),103)</f>
        <v/>
      </c>
      <c r="Q112">
        <f>IF(INDEX('Data'!$D$6:$F$205,103,'Summary'!$P$5)="",NA(),INDEX('Data'!$D$6:$F$205,103,'Summary'!$P$5))</f>
        <v/>
      </c>
      <c r="R112">
        <f>$C$6</f>
        <v/>
      </c>
      <c r="S112">
        <f>IF(ISNA(Q112),"",IF(Q112&gt;$C$6,1,IF(Q112&lt;$C$6,-1,"")))</f>
        <v/>
      </c>
    </row>
    <row r="113">
      <c r="P113">
        <f>IF(INDEX('Data'!$D$6:$F$205,104,'Summary'!$P$5)="",NA(),104)</f>
        <v/>
      </c>
      <c r="Q113">
        <f>IF(INDEX('Data'!$D$6:$F$205,104,'Summary'!$P$5)="",NA(),INDEX('Data'!$D$6:$F$205,104,'Summary'!$P$5))</f>
        <v/>
      </c>
      <c r="R113">
        <f>$C$6</f>
        <v/>
      </c>
      <c r="S113">
        <f>IF(ISNA(Q113),"",IF(Q113&gt;$C$6,1,IF(Q113&lt;$C$6,-1,"")))</f>
        <v/>
      </c>
    </row>
    <row r="114">
      <c r="P114">
        <f>IF(INDEX('Data'!$D$6:$F$205,105,'Summary'!$P$5)="",NA(),105)</f>
        <v/>
      </c>
      <c r="Q114">
        <f>IF(INDEX('Data'!$D$6:$F$205,105,'Summary'!$P$5)="",NA(),INDEX('Data'!$D$6:$F$205,105,'Summary'!$P$5))</f>
        <v/>
      </c>
      <c r="R114">
        <f>$C$6</f>
        <v/>
      </c>
      <c r="S114">
        <f>IF(ISNA(Q114),"",IF(Q114&gt;$C$6,1,IF(Q114&lt;$C$6,-1,"")))</f>
        <v/>
      </c>
    </row>
    <row r="115">
      <c r="P115">
        <f>IF(INDEX('Data'!$D$6:$F$205,106,'Summary'!$P$5)="",NA(),106)</f>
        <v/>
      </c>
      <c r="Q115">
        <f>IF(INDEX('Data'!$D$6:$F$205,106,'Summary'!$P$5)="",NA(),INDEX('Data'!$D$6:$F$205,106,'Summary'!$P$5))</f>
        <v/>
      </c>
      <c r="R115">
        <f>$C$6</f>
        <v/>
      </c>
      <c r="S115">
        <f>IF(ISNA(Q115),"",IF(Q115&gt;$C$6,1,IF(Q115&lt;$C$6,-1,"")))</f>
        <v/>
      </c>
    </row>
    <row r="116">
      <c r="P116">
        <f>IF(INDEX('Data'!$D$6:$F$205,107,'Summary'!$P$5)="",NA(),107)</f>
        <v/>
      </c>
      <c r="Q116">
        <f>IF(INDEX('Data'!$D$6:$F$205,107,'Summary'!$P$5)="",NA(),INDEX('Data'!$D$6:$F$205,107,'Summary'!$P$5))</f>
        <v/>
      </c>
      <c r="R116">
        <f>$C$6</f>
        <v/>
      </c>
      <c r="S116">
        <f>IF(ISNA(Q116),"",IF(Q116&gt;$C$6,1,IF(Q116&lt;$C$6,-1,"")))</f>
        <v/>
      </c>
    </row>
    <row r="117">
      <c r="P117">
        <f>IF(INDEX('Data'!$D$6:$F$205,108,'Summary'!$P$5)="",NA(),108)</f>
        <v/>
      </c>
      <c r="Q117">
        <f>IF(INDEX('Data'!$D$6:$F$205,108,'Summary'!$P$5)="",NA(),INDEX('Data'!$D$6:$F$205,108,'Summary'!$P$5))</f>
        <v/>
      </c>
      <c r="R117">
        <f>$C$6</f>
        <v/>
      </c>
      <c r="S117">
        <f>IF(ISNA(Q117),"",IF(Q117&gt;$C$6,1,IF(Q117&lt;$C$6,-1,"")))</f>
        <v/>
      </c>
    </row>
    <row r="118">
      <c r="P118">
        <f>IF(INDEX('Data'!$D$6:$F$205,109,'Summary'!$P$5)="",NA(),109)</f>
        <v/>
      </c>
      <c r="Q118">
        <f>IF(INDEX('Data'!$D$6:$F$205,109,'Summary'!$P$5)="",NA(),INDEX('Data'!$D$6:$F$205,109,'Summary'!$P$5))</f>
        <v/>
      </c>
      <c r="R118">
        <f>$C$6</f>
        <v/>
      </c>
      <c r="S118">
        <f>IF(ISNA(Q118),"",IF(Q118&gt;$C$6,1,IF(Q118&lt;$C$6,-1,"")))</f>
        <v/>
      </c>
    </row>
    <row r="119">
      <c r="P119">
        <f>IF(INDEX('Data'!$D$6:$F$205,110,'Summary'!$P$5)="",NA(),110)</f>
        <v/>
      </c>
      <c r="Q119">
        <f>IF(INDEX('Data'!$D$6:$F$205,110,'Summary'!$P$5)="",NA(),INDEX('Data'!$D$6:$F$205,110,'Summary'!$P$5))</f>
        <v/>
      </c>
      <c r="R119">
        <f>$C$6</f>
        <v/>
      </c>
      <c r="S119">
        <f>IF(ISNA(Q119),"",IF(Q119&gt;$C$6,1,IF(Q119&lt;$C$6,-1,"")))</f>
        <v/>
      </c>
    </row>
    <row r="120">
      <c r="P120">
        <f>IF(INDEX('Data'!$D$6:$F$205,111,'Summary'!$P$5)="",NA(),111)</f>
        <v/>
      </c>
      <c r="Q120">
        <f>IF(INDEX('Data'!$D$6:$F$205,111,'Summary'!$P$5)="",NA(),INDEX('Data'!$D$6:$F$205,111,'Summary'!$P$5))</f>
        <v/>
      </c>
      <c r="R120">
        <f>$C$6</f>
        <v/>
      </c>
      <c r="S120">
        <f>IF(ISNA(Q120),"",IF(Q120&gt;$C$6,1,IF(Q120&lt;$C$6,-1,"")))</f>
        <v/>
      </c>
    </row>
    <row r="121">
      <c r="P121">
        <f>IF(INDEX('Data'!$D$6:$F$205,112,'Summary'!$P$5)="",NA(),112)</f>
        <v/>
      </c>
      <c r="Q121">
        <f>IF(INDEX('Data'!$D$6:$F$205,112,'Summary'!$P$5)="",NA(),INDEX('Data'!$D$6:$F$205,112,'Summary'!$P$5))</f>
        <v/>
      </c>
      <c r="R121">
        <f>$C$6</f>
        <v/>
      </c>
      <c r="S121">
        <f>IF(ISNA(Q121),"",IF(Q121&gt;$C$6,1,IF(Q121&lt;$C$6,-1,"")))</f>
        <v/>
      </c>
    </row>
    <row r="122">
      <c r="P122">
        <f>IF(INDEX('Data'!$D$6:$F$205,113,'Summary'!$P$5)="",NA(),113)</f>
        <v/>
      </c>
      <c r="Q122">
        <f>IF(INDEX('Data'!$D$6:$F$205,113,'Summary'!$P$5)="",NA(),INDEX('Data'!$D$6:$F$205,113,'Summary'!$P$5))</f>
        <v/>
      </c>
      <c r="R122">
        <f>$C$6</f>
        <v/>
      </c>
      <c r="S122">
        <f>IF(ISNA(Q122),"",IF(Q122&gt;$C$6,1,IF(Q122&lt;$C$6,-1,"")))</f>
        <v/>
      </c>
    </row>
    <row r="123">
      <c r="P123">
        <f>IF(INDEX('Data'!$D$6:$F$205,114,'Summary'!$P$5)="",NA(),114)</f>
        <v/>
      </c>
      <c r="Q123">
        <f>IF(INDEX('Data'!$D$6:$F$205,114,'Summary'!$P$5)="",NA(),INDEX('Data'!$D$6:$F$205,114,'Summary'!$P$5))</f>
        <v/>
      </c>
      <c r="R123">
        <f>$C$6</f>
        <v/>
      </c>
      <c r="S123">
        <f>IF(ISNA(Q123),"",IF(Q123&gt;$C$6,1,IF(Q123&lt;$C$6,-1,"")))</f>
        <v/>
      </c>
    </row>
    <row r="124">
      <c r="P124">
        <f>IF(INDEX('Data'!$D$6:$F$205,115,'Summary'!$P$5)="",NA(),115)</f>
        <v/>
      </c>
      <c r="Q124">
        <f>IF(INDEX('Data'!$D$6:$F$205,115,'Summary'!$P$5)="",NA(),INDEX('Data'!$D$6:$F$205,115,'Summary'!$P$5))</f>
        <v/>
      </c>
      <c r="R124">
        <f>$C$6</f>
        <v/>
      </c>
      <c r="S124">
        <f>IF(ISNA(Q124),"",IF(Q124&gt;$C$6,1,IF(Q124&lt;$C$6,-1,"")))</f>
        <v/>
      </c>
    </row>
    <row r="125">
      <c r="P125">
        <f>IF(INDEX('Data'!$D$6:$F$205,116,'Summary'!$P$5)="",NA(),116)</f>
        <v/>
      </c>
      <c r="Q125">
        <f>IF(INDEX('Data'!$D$6:$F$205,116,'Summary'!$P$5)="",NA(),INDEX('Data'!$D$6:$F$205,116,'Summary'!$P$5))</f>
        <v/>
      </c>
      <c r="R125">
        <f>$C$6</f>
        <v/>
      </c>
      <c r="S125">
        <f>IF(ISNA(Q125),"",IF(Q125&gt;$C$6,1,IF(Q125&lt;$C$6,-1,"")))</f>
        <v/>
      </c>
    </row>
    <row r="126">
      <c r="P126">
        <f>IF(INDEX('Data'!$D$6:$F$205,117,'Summary'!$P$5)="",NA(),117)</f>
        <v/>
      </c>
      <c r="Q126">
        <f>IF(INDEX('Data'!$D$6:$F$205,117,'Summary'!$P$5)="",NA(),INDEX('Data'!$D$6:$F$205,117,'Summary'!$P$5))</f>
        <v/>
      </c>
      <c r="R126">
        <f>$C$6</f>
        <v/>
      </c>
      <c r="S126">
        <f>IF(ISNA(Q126),"",IF(Q126&gt;$C$6,1,IF(Q126&lt;$C$6,-1,"")))</f>
        <v/>
      </c>
    </row>
    <row r="127">
      <c r="P127">
        <f>IF(INDEX('Data'!$D$6:$F$205,118,'Summary'!$P$5)="",NA(),118)</f>
        <v/>
      </c>
      <c r="Q127">
        <f>IF(INDEX('Data'!$D$6:$F$205,118,'Summary'!$P$5)="",NA(),INDEX('Data'!$D$6:$F$205,118,'Summary'!$P$5))</f>
        <v/>
      </c>
      <c r="R127">
        <f>$C$6</f>
        <v/>
      </c>
      <c r="S127">
        <f>IF(ISNA(Q127),"",IF(Q127&gt;$C$6,1,IF(Q127&lt;$C$6,-1,"")))</f>
        <v/>
      </c>
    </row>
    <row r="128">
      <c r="P128">
        <f>IF(INDEX('Data'!$D$6:$F$205,119,'Summary'!$P$5)="",NA(),119)</f>
        <v/>
      </c>
      <c r="Q128">
        <f>IF(INDEX('Data'!$D$6:$F$205,119,'Summary'!$P$5)="",NA(),INDEX('Data'!$D$6:$F$205,119,'Summary'!$P$5))</f>
        <v/>
      </c>
      <c r="R128">
        <f>$C$6</f>
        <v/>
      </c>
      <c r="S128">
        <f>IF(ISNA(Q128),"",IF(Q128&gt;$C$6,1,IF(Q128&lt;$C$6,-1,"")))</f>
        <v/>
      </c>
    </row>
    <row r="129">
      <c r="P129">
        <f>IF(INDEX('Data'!$D$6:$F$205,120,'Summary'!$P$5)="",NA(),120)</f>
        <v/>
      </c>
      <c r="Q129">
        <f>IF(INDEX('Data'!$D$6:$F$205,120,'Summary'!$P$5)="",NA(),INDEX('Data'!$D$6:$F$205,120,'Summary'!$P$5))</f>
        <v/>
      </c>
      <c r="R129">
        <f>$C$6</f>
        <v/>
      </c>
      <c r="S129">
        <f>IF(ISNA(Q129),"",IF(Q129&gt;$C$6,1,IF(Q129&lt;$C$6,-1,"")))</f>
        <v/>
      </c>
    </row>
    <row r="130">
      <c r="P130">
        <f>IF(INDEX('Data'!$D$6:$F$205,121,'Summary'!$P$5)="",NA(),121)</f>
        <v/>
      </c>
      <c r="Q130">
        <f>IF(INDEX('Data'!$D$6:$F$205,121,'Summary'!$P$5)="",NA(),INDEX('Data'!$D$6:$F$205,121,'Summary'!$P$5))</f>
        <v/>
      </c>
      <c r="R130">
        <f>$C$6</f>
        <v/>
      </c>
      <c r="S130">
        <f>IF(ISNA(Q130),"",IF(Q130&gt;$C$6,1,IF(Q130&lt;$C$6,-1,"")))</f>
        <v/>
      </c>
    </row>
    <row r="131">
      <c r="P131">
        <f>IF(INDEX('Data'!$D$6:$F$205,122,'Summary'!$P$5)="",NA(),122)</f>
        <v/>
      </c>
      <c r="Q131">
        <f>IF(INDEX('Data'!$D$6:$F$205,122,'Summary'!$P$5)="",NA(),INDEX('Data'!$D$6:$F$205,122,'Summary'!$P$5))</f>
        <v/>
      </c>
      <c r="R131">
        <f>$C$6</f>
        <v/>
      </c>
      <c r="S131">
        <f>IF(ISNA(Q131),"",IF(Q131&gt;$C$6,1,IF(Q131&lt;$C$6,-1,"")))</f>
        <v/>
      </c>
    </row>
    <row r="132">
      <c r="P132">
        <f>IF(INDEX('Data'!$D$6:$F$205,123,'Summary'!$P$5)="",NA(),123)</f>
        <v/>
      </c>
      <c r="Q132">
        <f>IF(INDEX('Data'!$D$6:$F$205,123,'Summary'!$P$5)="",NA(),INDEX('Data'!$D$6:$F$205,123,'Summary'!$P$5))</f>
        <v/>
      </c>
      <c r="R132">
        <f>$C$6</f>
        <v/>
      </c>
      <c r="S132">
        <f>IF(ISNA(Q132),"",IF(Q132&gt;$C$6,1,IF(Q132&lt;$C$6,-1,"")))</f>
        <v/>
      </c>
    </row>
    <row r="133">
      <c r="P133">
        <f>IF(INDEX('Data'!$D$6:$F$205,124,'Summary'!$P$5)="",NA(),124)</f>
        <v/>
      </c>
      <c r="Q133">
        <f>IF(INDEX('Data'!$D$6:$F$205,124,'Summary'!$P$5)="",NA(),INDEX('Data'!$D$6:$F$205,124,'Summary'!$P$5))</f>
        <v/>
      </c>
      <c r="R133">
        <f>$C$6</f>
        <v/>
      </c>
      <c r="S133">
        <f>IF(ISNA(Q133),"",IF(Q133&gt;$C$6,1,IF(Q133&lt;$C$6,-1,"")))</f>
        <v/>
      </c>
    </row>
    <row r="134">
      <c r="P134">
        <f>IF(INDEX('Data'!$D$6:$F$205,125,'Summary'!$P$5)="",NA(),125)</f>
        <v/>
      </c>
      <c r="Q134">
        <f>IF(INDEX('Data'!$D$6:$F$205,125,'Summary'!$P$5)="",NA(),INDEX('Data'!$D$6:$F$205,125,'Summary'!$P$5))</f>
        <v/>
      </c>
      <c r="R134">
        <f>$C$6</f>
        <v/>
      </c>
      <c r="S134">
        <f>IF(ISNA(Q134),"",IF(Q134&gt;$C$6,1,IF(Q134&lt;$C$6,-1,"")))</f>
        <v/>
      </c>
    </row>
    <row r="135">
      <c r="P135">
        <f>IF(INDEX('Data'!$D$6:$F$205,126,'Summary'!$P$5)="",NA(),126)</f>
        <v/>
      </c>
      <c r="Q135">
        <f>IF(INDEX('Data'!$D$6:$F$205,126,'Summary'!$P$5)="",NA(),INDEX('Data'!$D$6:$F$205,126,'Summary'!$P$5))</f>
        <v/>
      </c>
      <c r="R135">
        <f>$C$6</f>
        <v/>
      </c>
      <c r="S135">
        <f>IF(ISNA(Q135),"",IF(Q135&gt;$C$6,1,IF(Q135&lt;$C$6,-1,"")))</f>
        <v/>
      </c>
    </row>
    <row r="136">
      <c r="P136">
        <f>IF(INDEX('Data'!$D$6:$F$205,127,'Summary'!$P$5)="",NA(),127)</f>
        <v/>
      </c>
      <c r="Q136">
        <f>IF(INDEX('Data'!$D$6:$F$205,127,'Summary'!$P$5)="",NA(),INDEX('Data'!$D$6:$F$205,127,'Summary'!$P$5))</f>
        <v/>
      </c>
      <c r="R136">
        <f>$C$6</f>
        <v/>
      </c>
      <c r="S136">
        <f>IF(ISNA(Q136),"",IF(Q136&gt;$C$6,1,IF(Q136&lt;$C$6,-1,"")))</f>
        <v/>
      </c>
    </row>
    <row r="137">
      <c r="P137">
        <f>IF(INDEX('Data'!$D$6:$F$205,128,'Summary'!$P$5)="",NA(),128)</f>
        <v/>
      </c>
      <c r="Q137">
        <f>IF(INDEX('Data'!$D$6:$F$205,128,'Summary'!$P$5)="",NA(),INDEX('Data'!$D$6:$F$205,128,'Summary'!$P$5))</f>
        <v/>
      </c>
      <c r="R137">
        <f>$C$6</f>
        <v/>
      </c>
      <c r="S137">
        <f>IF(ISNA(Q137),"",IF(Q137&gt;$C$6,1,IF(Q137&lt;$C$6,-1,"")))</f>
        <v/>
      </c>
    </row>
    <row r="138">
      <c r="P138">
        <f>IF(INDEX('Data'!$D$6:$F$205,129,'Summary'!$P$5)="",NA(),129)</f>
        <v/>
      </c>
      <c r="Q138">
        <f>IF(INDEX('Data'!$D$6:$F$205,129,'Summary'!$P$5)="",NA(),INDEX('Data'!$D$6:$F$205,129,'Summary'!$P$5))</f>
        <v/>
      </c>
      <c r="R138">
        <f>$C$6</f>
        <v/>
      </c>
      <c r="S138">
        <f>IF(ISNA(Q138),"",IF(Q138&gt;$C$6,1,IF(Q138&lt;$C$6,-1,"")))</f>
        <v/>
      </c>
    </row>
    <row r="139">
      <c r="P139">
        <f>IF(INDEX('Data'!$D$6:$F$205,130,'Summary'!$P$5)="",NA(),130)</f>
        <v/>
      </c>
      <c r="Q139">
        <f>IF(INDEX('Data'!$D$6:$F$205,130,'Summary'!$P$5)="",NA(),INDEX('Data'!$D$6:$F$205,130,'Summary'!$P$5))</f>
        <v/>
      </c>
      <c r="R139">
        <f>$C$6</f>
        <v/>
      </c>
      <c r="S139">
        <f>IF(ISNA(Q139),"",IF(Q139&gt;$C$6,1,IF(Q139&lt;$C$6,-1,"")))</f>
        <v/>
      </c>
    </row>
    <row r="140">
      <c r="P140">
        <f>IF(INDEX('Data'!$D$6:$F$205,131,'Summary'!$P$5)="",NA(),131)</f>
        <v/>
      </c>
      <c r="Q140">
        <f>IF(INDEX('Data'!$D$6:$F$205,131,'Summary'!$P$5)="",NA(),INDEX('Data'!$D$6:$F$205,131,'Summary'!$P$5))</f>
        <v/>
      </c>
      <c r="R140">
        <f>$C$6</f>
        <v/>
      </c>
      <c r="S140">
        <f>IF(ISNA(Q140),"",IF(Q140&gt;$C$6,1,IF(Q140&lt;$C$6,-1,"")))</f>
        <v/>
      </c>
    </row>
    <row r="141">
      <c r="P141">
        <f>IF(INDEX('Data'!$D$6:$F$205,132,'Summary'!$P$5)="",NA(),132)</f>
        <v/>
      </c>
      <c r="Q141">
        <f>IF(INDEX('Data'!$D$6:$F$205,132,'Summary'!$P$5)="",NA(),INDEX('Data'!$D$6:$F$205,132,'Summary'!$P$5))</f>
        <v/>
      </c>
      <c r="R141">
        <f>$C$6</f>
        <v/>
      </c>
      <c r="S141">
        <f>IF(ISNA(Q141),"",IF(Q141&gt;$C$6,1,IF(Q141&lt;$C$6,-1,"")))</f>
        <v/>
      </c>
    </row>
    <row r="142">
      <c r="P142">
        <f>IF(INDEX('Data'!$D$6:$F$205,133,'Summary'!$P$5)="",NA(),133)</f>
        <v/>
      </c>
      <c r="Q142">
        <f>IF(INDEX('Data'!$D$6:$F$205,133,'Summary'!$P$5)="",NA(),INDEX('Data'!$D$6:$F$205,133,'Summary'!$P$5))</f>
        <v/>
      </c>
      <c r="R142">
        <f>$C$6</f>
        <v/>
      </c>
      <c r="S142">
        <f>IF(ISNA(Q142),"",IF(Q142&gt;$C$6,1,IF(Q142&lt;$C$6,-1,"")))</f>
        <v/>
      </c>
    </row>
    <row r="143">
      <c r="P143">
        <f>IF(INDEX('Data'!$D$6:$F$205,134,'Summary'!$P$5)="",NA(),134)</f>
        <v/>
      </c>
      <c r="Q143">
        <f>IF(INDEX('Data'!$D$6:$F$205,134,'Summary'!$P$5)="",NA(),INDEX('Data'!$D$6:$F$205,134,'Summary'!$P$5))</f>
        <v/>
      </c>
      <c r="R143">
        <f>$C$6</f>
        <v/>
      </c>
      <c r="S143">
        <f>IF(ISNA(Q143),"",IF(Q143&gt;$C$6,1,IF(Q143&lt;$C$6,-1,"")))</f>
        <v/>
      </c>
    </row>
    <row r="144">
      <c r="P144">
        <f>IF(INDEX('Data'!$D$6:$F$205,135,'Summary'!$P$5)="",NA(),135)</f>
        <v/>
      </c>
      <c r="Q144">
        <f>IF(INDEX('Data'!$D$6:$F$205,135,'Summary'!$P$5)="",NA(),INDEX('Data'!$D$6:$F$205,135,'Summary'!$P$5))</f>
        <v/>
      </c>
      <c r="R144">
        <f>$C$6</f>
        <v/>
      </c>
      <c r="S144">
        <f>IF(ISNA(Q144),"",IF(Q144&gt;$C$6,1,IF(Q144&lt;$C$6,-1,"")))</f>
        <v/>
      </c>
    </row>
    <row r="145">
      <c r="P145">
        <f>IF(INDEX('Data'!$D$6:$F$205,136,'Summary'!$P$5)="",NA(),136)</f>
        <v/>
      </c>
      <c r="Q145">
        <f>IF(INDEX('Data'!$D$6:$F$205,136,'Summary'!$P$5)="",NA(),INDEX('Data'!$D$6:$F$205,136,'Summary'!$P$5))</f>
        <v/>
      </c>
      <c r="R145">
        <f>$C$6</f>
        <v/>
      </c>
      <c r="S145">
        <f>IF(ISNA(Q145),"",IF(Q145&gt;$C$6,1,IF(Q145&lt;$C$6,-1,"")))</f>
        <v/>
      </c>
    </row>
    <row r="146">
      <c r="P146">
        <f>IF(INDEX('Data'!$D$6:$F$205,137,'Summary'!$P$5)="",NA(),137)</f>
        <v/>
      </c>
      <c r="Q146">
        <f>IF(INDEX('Data'!$D$6:$F$205,137,'Summary'!$P$5)="",NA(),INDEX('Data'!$D$6:$F$205,137,'Summary'!$P$5))</f>
        <v/>
      </c>
      <c r="R146">
        <f>$C$6</f>
        <v/>
      </c>
      <c r="S146">
        <f>IF(ISNA(Q146),"",IF(Q146&gt;$C$6,1,IF(Q146&lt;$C$6,-1,"")))</f>
        <v/>
      </c>
    </row>
    <row r="147">
      <c r="P147">
        <f>IF(INDEX('Data'!$D$6:$F$205,138,'Summary'!$P$5)="",NA(),138)</f>
        <v/>
      </c>
      <c r="Q147">
        <f>IF(INDEX('Data'!$D$6:$F$205,138,'Summary'!$P$5)="",NA(),INDEX('Data'!$D$6:$F$205,138,'Summary'!$P$5))</f>
        <v/>
      </c>
      <c r="R147">
        <f>$C$6</f>
        <v/>
      </c>
      <c r="S147">
        <f>IF(ISNA(Q147),"",IF(Q147&gt;$C$6,1,IF(Q147&lt;$C$6,-1,"")))</f>
        <v/>
      </c>
    </row>
    <row r="148">
      <c r="P148">
        <f>IF(INDEX('Data'!$D$6:$F$205,139,'Summary'!$P$5)="",NA(),139)</f>
        <v/>
      </c>
      <c r="Q148">
        <f>IF(INDEX('Data'!$D$6:$F$205,139,'Summary'!$P$5)="",NA(),INDEX('Data'!$D$6:$F$205,139,'Summary'!$P$5))</f>
        <v/>
      </c>
      <c r="R148">
        <f>$C$6</f>
        <v/>
      </c>
      <c r="S148">
        <f>IF(ISNA(Q148),"",IF(Q148&gt;$C$6,1,IF(Q148&lt;$C$6,-1,"")))</f>
        <v/>
      </c>
    </row>
    <row r="149">
      <c r="P149">
        <f>IF(INDEX('Data'!$D$6:$F$205,140,'Summary'!$P$5)="",NA(),140)</f>
        <v/>
      </c>
      <c r="Q149">
        <f>IF(INDEX('Data'!$D$6:$F$205,140,'Summary'!$P$5)="",NA(),INDEX('Data'!$D$6:$F$205,140,'Summary'!$P$5))</f>
        <v/>
      </c>
      <c r="R149">
        <f>$C$6</f>
        <v/>
      </c>
      <c r="S149">
        <f>IF(ISNA(Q149),"",IF(Q149&gt;$C$6,1,IF(Q149&lt;$C$6,-1,"")))</f>
        <v/>
      </c>
    </row>
    <row r="150">
      <c r="P150">
        <f>IF(INDEX('Data'!$D$6:$F$205,141,'Summary'!$P$5)="",NA(),141)</f>
        <v/>
      </c>
      <c r="Q150">
        <f>IF(INDEX('Data'!$D$6:$F$205,141,'Summary'!$P$5)="",NA(),INDEX('Data'!$D$6:$F$205,141,'Summary'!$P$5))</f>
        <v/>
      </c>
      <c r="R150">
        <f>$C$6</f>
        <v/>
      </c>
      <c r="S150">
        <f>IF(ISNA(Q150),"",IF(Q150&gt;$C$6,1,IF(Q150&lt;$C$6,-1,"")))</f>
        <v/>
      </c>
    </row>
    <row r="151">
      <c r="P151">
        <f>IF(INDEX('Data'!$D$6:$F$205,142,'Summary'!$P$5)="",NA(),142)</f>
        <v/>
      </c>
      <c r="Q151">
        <f>IF(INDEX('Data'!$D$6:$F$205,142,'Summary'!$P$5)="",NA(),INDEX('Data'!$D$6:$F$205,142,'Summary'!$P$5))</f>
        <v/>
      </c>
      <c r="R151">
        <f>$C$6</f>
        <v/>
      </c>
      <c r="S151">
        <f>IF(ISNA(Q151),"",IF(Q151&gt;$C$6,1,IF(Q151&lt;$C$6,-1,"")))</f>
        <v/>
      </c>
    </row>
    <row r="152">
      <c r="P152">
        <f>IF(INDEX('Data'!$D$6:$F$205,143,'Summary'!$P$5)="",NA(),143)</f>
        <v/>
      </c>
      <c r="Q152">
        <f>IF(INDEX('Data'!$D$6:$F$205,143,'Summary'!$P$5)="",NA(),INDEX('Data'!$D$6:$F$205,143,'Summary'!$P$5))</f>
        <v/>
      </c>
      <c r="R152">
        <f>$C$6</f>
        <v/>
      </c>
      <c r="S152">
        <f>IF(ISNA(Q152),"",IF(Q152&gt;$C$6,1,IF(Q152&lt;$C$6,-1,"")))</f>
        <v/>
      </c>
    </row>
    <row r="153">
      <c r="P153">
        <f>IF(INDEX('Data'!$D$6:$F$205,144,'Summary'!$P$5)="",NA(),144)</f>
        <v/>
      </c>
      <c r="Q153">
        <f>IF(INDEX('Data'!$D$6:$F$205,144,'Summary'!$P$5)="",NA(),INDEX('Data'!$D$6:$F$205,144,'Summary'!$P$5))</f>
        <v/>
      </c>
      <c r="R153">
        <f>$C$6</f>
        <v/>
      </c>
      <c r="S153">
        <f>IF(ISNA(Q153),"",IF(Q153&gt;$C$6,1,IF(Q153&lt;$C$6,-1,"")))</f>
        <v/>
      </c>
    </row>
    <row r="154">
      <c r="P154">
        <f>IF(INDEX('Data'!$D$6:$F$205,145,'Summary'!$P$5)="",NA(),145)</f>
        <v/>
      </c>
      <c r="Q154">
        <f>IF(INDEX('Data'!$D$6:$F$205,145,'Summary'!$P$5)="",NA(),INDEX('Data'!$D$6:$F$205,145,'Summary'!$P$5))</f>
        <v/>
      </c>
      <c r="R154">
        <f>$C$6</f>
        <v/>
      </c>
      <c r="S154">
        <f>IF(ISNA(Q154),"",IF(Q154&gt;$C$6,1,IF(Q154&lt;$C$6,-1,"")))</f>
        <v/>
      </c>
    </row>
    <row r="155">
      <c r="P155">
        <f>IF(INDEX('Data'!$D$6:$F$205,146,'Summary'!$P$5)="",NA(),146)</f>
        <v/>
      </c>
      <c r="Q155">
        <f>IF(INDEX('Data'!$D$6:$F$205,146,'Summary'!$P$5)="",NA(),INDEX('Data'!$D$6:$F$205,146,'Summary'!$P$5))</f>
        <v/>
      </c>
      <c r="R155">
        <f>$C$6</f>
        <v/>
      </c>
      <c r="S155">
        <f>IF(ISNA(Q155),"",IF(Q155&gt;$C$6,1,IF(Q155&lt;$C$6,-1,"")))</f>
        <v/>
      </c>
    </row>
    <row r="156">
      <c r="P156">
        <f>IF(INDEX('Data'!$D$6:$F$205,147,'Summary'!$P$5)="",NA(),147)</f>
        <v/>
      </c>
      <c r="Q156">
        <f>IF(INDEX('Data'!$D$6:$F$205,147,'Summary'!$P$5)="",NA(),INDEX('Data'!$D$6:$F$205,147,'Summary'!$P$5))</f>
        <v/>
      </c>
      <c r="R156">
        <f>$C$6</f>
        <v/>
      </c>
      <c r="S156">
        <f>IF(ISNA(Q156),"",IF(Q156&gt;$C$6,1,IF(Q156&lt;$C$6,-1,"")))</f>
        <v/>
      </c>
    </row>
    <row r="157">
      <c r="P157">
        <f>IF(INDEX('Data'!$D$6:$F$205,148,'Summary'!$P$5)="",NA(),148)</f>
        <v/>
      </c>
      <c r="Q157">
        <f>IF(INDEX('Data'!$D$6:$F$205,148,'Summary'!$P$5)="",NA(),INDEX('Data'!$D$6:$F$205,148,'Summary'!$P$5))</f>
        <v/>
      </c>
      <c r="R157">
        <f>$C$6</f>
        <v/>
      </c>
      <c r="S157">
        <f>IF(ISNA(Q157),"",IF(Q157&gt;$C$6,1,IF(Q157&lt;$C$6,-1,"")))</f>
        <v/>
      </c>
    </row>
    <row r="158">
      <c r="P158">
        <f>IF(INDEX('Data'!$D$6:$F$205,149,'Summary'!$P$5)="",NA(),149)</f>
        <v/>
      </c>
      <c r="Q158">
        <f>IF(INDEX('Data'!$D$6:$F$205,149,'Summary'!$P$5)="",NA(),INDEX('Data'!$D$6:$F$205,149,'Summary'!$P$5))</f>
        <v/>
      </c>
      <c r="R158">
        <f>$C$6</f>
        <v/>
      </c>
      <c r="S158">
        <f>IF(ISNA(Q158),"",IF(Q158&gt;$C$6,1,IF(Q158&lt;$C$6,-1,"")))</f>
        <v/>
      </c>
    </row>
    <row r="159">
      <c r="P159">
        <f>IF(INDEX('Data'!$D$6:$F$205,150,'Summary'!$P$5)="",NA(),150)</f>
        <v/>
      </c>
      <c r="Q159">
        <f>IF(INDEX('Data'!$D$6:$F$205,150,'Summary'!$P$5)="",NA(),INDEX('Data'!$D$6:$F$205,150,'Summary'!$P$5))</f>
        <v/>
      </c>
      <c r="R159">
        <f>$C$6</f>
        <v/>
      </c>
      <c r="S159">
        <f>IF(ISNA(Q159),"",IF(Q159&gt;$C$6,1,IF(Q159&lt;$C$6,-1,"")))</f>
        <v/>
      </c>
    </row>
    <row r="160">
      <c r="P160">
        <f>IF(INDEX('Data'!$D$6:$F$205,151,'Summary'!$P$5)="",NA(),151)</f>
        <v/>
      </c>
      <c r="Q160">
        <f>IF(INDEX('Data'!$D$6:$F$205,151,'Summary'!$P$5)="",NA(),INDEX('Data'!$D$6:$F$205,151,'Summary'!$P$5))</f>
        <v/>
      </c>
      <c r="R160">
        <f>$C$6</f>
        <v/>
      </c>
      <c r="S160">
        <f>IF(ISNA(Q160),"",IF(Q160&gt;$C$6,1,IF(Q160&lt;$C$6,-1,"")))</f>
        <v/>
      </c>
    </row>
    <row r="161">
      <c r="P161">
        <f>IF(INDEX('Data'!$D$6:$F$205,152,'Summary'!$P$5)="",NA(),152)</f>
        <v/>
      </c>
      <c r="Q161">
        <f>IF(INDEX('Data'!$D$6:$F$205,152,'Summary'!$P$5)="",NA(),INDEX('Data'!$D$6:$F$205,152,'Summary'!$P$5))</f>
        <v/>
      </c>
      <c r="R161">
        <f>$C$6</f>
        <v/>
      </c>
      <c r="S161">
        <f>IF(ISNA(Q161),"",IF(Q161&gt;$C$6,1,IF(Q161&lt;$C$6,-1,"")))</f>
        <v/>
      </c>
    </row>
    <row r="162">
      <c r="P162">
        <f>IF(INDEX('Data'!$D$6:$F$205,153,'Summary'!$P$5)="",NA(),153)</f>
        <v/>
      </c>
      <c r="Q162">
        <f>IF(INDEX('Data'!$D$6:$F$205,153,'Summary'!$P$5)="",NA(),INDEX('Data'!$D$6:$F$205,153,'Summary'!$P$5))</f>
        <v/>
      </c>
      <c r="R162">
        <f>$C$6</f>
        <v/>
      </c>
      <c r="S162">
        <f>IF(ISNA(Q162),"",IF(Q162&gt;$C$6,1,IF(Q162&lt;$C$6,-1,"")))</f>
        <v/>
      </c>
    </row>
    <row r="163">
      <c r="P163">
        <f>IF(INDEX('Data'!$D$6:$F$205,154,'Summary'!$P$5)="",NA(),154)</f>
        <v/>
      </c>
      <c r="Q163">
        <f>IF(INDEX('Data'!$D$6:$F$205,154,'Summary'!$P$5)="",NA(),INDEX('Data'!$D$6:$F$205,154,'Summary'!$P$5))</f>
        <v/>
      </c>
      <c r="R163">
        <f>$C$6</f>
        <v/>
      </c>
      <c r="S163">
        <f>IF(ISNA(Q163),"",IF(Q163&gt;$C$6,1,IF(Q163&lt;$C$6,-1,"")))</f>
        <v/>
      </c>
    </row>
    <row r="164">
      <c r="P164">
        <f>IF(INDEX('Data'!$D$6:$F$205,155,'Summary'!$P$5)="",NA(),155)</f>
        <v/>
      </c>
      <c r="Q164">
        <f>IF(INDEX('Data'!$D$6:$F$205,155,'Summary'!$P$5)="",NA(),INDEX('Data'!$D$6:$F$205,155,'Summary'!$P$5))</f>
        <v/>
      </c>
      <c r="R164">
        <f>$C$6</f>
        <v/>
      </c>
      <c r="S164">
        <f>IF(ISNA(Q164),"",IF(Q164&gt;$C$6,1,IF(Q164&lt;$C$6,-1,"")))</f>
        <v/>
      </c>
    </row>
    <row r="165">
      <c r="P165">
        <f>IF(INDEX('Data'!$D$6:$F$205,156,'Summary'!$P$5)="",NA(),156)</f>
        <v/>
      </c>
      <c r="Q165">
        <f>IF(INDEX('Data'!$D$6:$F$205,156,'Summary'!$P$5)="",NA(),INDEX('Data'!$D$6:$F$205,156,'Summary'!$P$5))</f>
        <v/>
      </c>
      <c r="R165">
        <f>$C$6</f>
        <v/>
      </c>
      <c r="S165">
        <f>IF(ISNA(Q165),"",IF(Q165&gt;$C$6,1,IF(Q165&lt;$C$6,-1,"")))</f>
        <v/>
      </c>
    </row>
    <row r="166">
      <c r="P166">
        <f>IF(INDEX('Data'!$D$6:$F$205,157,'Summary'!$P$5)="",NA(),157)</f>
        <v/>
      </c>
      <c r="Q166">
        <f>IF(INDEX('Data'!$D$6:$F$205,157,'Summary'!$P$5)="",NA(),INDEX('Data'!$D$6:$F$205,157,'Summary'!$P$5))</f>
        <v/>
      </c>
      <c r="R166">
        <f>$C$6</f>
        <v/>
      </c>
      <c r="S166">
        <f>IF(ISNA(Q166),"",IF(Q166&gt;$C$6,1,IF(Q166&lt;$C$6,-1,"")))</f>
        <v/>
      </c>
    </row>
    <row r="167">
      <c r="P167">
        <f>IF(INDEX('Data'!$D$6:$F$205,158,'Summary'!$P$5)="",NA(),158)</f>
        <v/>
      </c>
      <c r="Q167">
        <f>IF(INDEX('Data'!$D$6:$F$205,158,'Summary'!$P$5)="",NA(),INDEX('Data'!$D$6:$F$205,158,'Summary'!$P$5))</f>
        <v/>
      </c>
      <c r="R167">
        <f>$C$6</f>
        <v/>
      </c>
      <c r="S167">
        <f>IF(ISNA(Q167),"",IF(Q167&gt;$C$6,1,IF(Q167&lt;$C$6,-1,"")))</f>
        <v/>
      </c>
    </row>
    <row r="168">
      <c r="P168">
        <f>IF(INDEX('Data'!$D$6:$F$205,159,'Summary'!$P$5)="",NA(),159)</f>
        <v/>
      </c>
      <c r="Q168">
        <f>IF(INDEX('Data'!$D$6:$F$205,159,'Summary'!$P$5)="",NA(),INDEX('Data'!$D$6:$F$205,159,'Summary'!$P$5))</f>
        <v/>
      </c>
      <c r="R168">
        <f>$C$6</f>
        <v/>
      </c>
      <c r="S168">
        <f>IF(ISNA(Q168),"",IF(Q168&gt;$C$6,1,IF(Q168&lt;$C$6,-1,"")))</f>
        <v/>
      </c>
    </row>
    <row r="169">
      <c r="P169">
        <f>IF(INDEX('Data'!$D$6:$F$205,160,'Summary'!$P$5)="",NA(),160)</f>
        <v/>
      </c>
      <c r="Q169">
        <f>IF(INDEX('Data'!$D$6:$F$205,160,'Summary'!$P$5)="",NA(),INDEX('Data'!$D$6:$F$205,160,'Summary'!$P$5))</f>
        <v/>
      </c>
      <c r="R169">
        <f>$C$6</f>
        <v/>
      </c>
      <c r="S169">
        <f>IF(ISNA(Q169),"",IF(Q169&gt;$C$6,1,IF(Q169&lt;$C$6,-1,"")))</f>
        <v/>
      </c>
    </row>
    <row r="170">
      <c r="P170">
        <f>IF(INDEX('Data'!$D$6:$F$205,161,'Summary'!$P$5)="",NA(),161)</f>
        <v/>
      </c>
      <c r="Q170">
        <f>IF(INDEX('Data'!$D$6:$F$205,161,'Summary'!$P$5)="",NA(),INDEX('Data'!$D$6:$F$205,161,'Summary'!$P$5))</f>
        <v/>
      </c>
      <c r="R170">
        <f>$C$6</f>
        <v/>
      </c>
      <c r="S170">
        <f>IF(ISNA(Q170),"",IF(Q170&gt;$C$6,1,IF(Q170&lt;$C$6,-1,"")))</f>
        <v/>
      </c>
    </row>
    <row r="171">
      <c r="P171">
        <f>IF(INDEX('Data'!$D$6:$F$205,162,'Summary'!$P$5)="",NA(),162)</f>
        <v/>
      </c>
      <c r="Q171">
        <f>IF(INDEX('Data'!$D$6:$F$205,162,'Summary'!$P$5)="",NA(),INDEX('Data'!$D$6:$F$205,162,'Summary'!$P$5))</f>
        <v/>
      </c>
      <c r="R171">
        <f>$C$6</f>
        <v/>
      </c>
      <c r="S171">
        <f>IF(ISNA(Q171),"",IF(Q171&gt;$C$6,1,IF(Q171&lt;$C$6,-1,"")))</f>
        <v/>
      </c>
    </row>
    <row r="172">
      <c r="P172">
        <f>IF(INDEX('Data'!$D$6:$F$205,163,'Summary'!$P$5)="",NA(),163)</f>
        <v/>
      </c>
      <c r="Q172">
        <f>IF(INDEX('Data'!$D$6:$F$205,163,'Summary'!$P$5)="",NA(),INDEX('Data'!$D$6:$F$205,163,'Summary'!$P$5))</f>
        <v/>
      </c>
      <c r="R172">
        <f>$C$6</f>
        <v/>
      </c>
      <c r="S172">
        <f>IF(ISNA(Q172),"",IF(Q172&gt;$C$6,1,IF(Q172&lt;$C$6,-1,"")))</f>
        <v/>
      </c>
    </row>
    <row r="173">
      <c r="P173">
        <f>IF(INDEX('Data'!$D$6:$F$205,164,'Summary'!$P$5)="",NA(),164)</f>
        <v/>
      </c>
      <c r="Q173">
        <f>IF(INDEX('Data'!$D$6:$F$205,164,'Summary'!$P$5)="",NA(),INDEX('Data'!$D$6:$F$205,164,'Summary'!$P$5))</f>
        <v/>
      </c>
      <c r="R173">
        <f>$C$6</f>
        <v/>
      </c>
      <c r="S173">
        <f>IF(ISNA(Q173),"",IF(Q173&gt;$C$6,1,IF(Q173&lt;$C$6,-1,"")))</f>
        <v/>
      </c>
    </row>
    <row r="174">
      <c r="P174">
        <f>IF(INDEX('Data'!$D$6:$F$205,165,'Summary'!$P$5)="",NA(),165)</f>
        <v/>
      </c>
      <c r="Q174">
        <f>IF(INDEX('Data'!$D$6:$F$205,165,'Summary'!$P$5)="",NA(),INDEX('Data'!$D$6:$F$205,165,'Summary'!$P$5))</f>
        <v/>
      </c>
      <c r="R174">
        <f>$C$6</f>
        <v/>
      </c>
      <c r="S174">
        <f>IF(ISNA(Q174),"",IF(Q174&gt;$C$6,1,IF(Q174&lt;$C$6,-1,"")))</f>
        <v/>
      </c>
    </row>
    <row r="175">
      <c r="P175">
        <f>IF(INDEX('Data'!$D$6:$F$205,166,'Summary'!$P$5)="",NA(),166)</f>
        <v/>
      </c>
      <c r="Q175">
        <f>IF(INDEX('Data'!$D$6:$F$205,166,'Summary'!$P$5)="",NA(),INDEX('Data'!$D$6:$F$205,166,'Summary'!$P$5))</f>
        <v/>
      </c>
      <c r="R175">
        <f>$C$6</f>
        <v/>
      </c>
      <c r="S175">
        <f>IF(ISNA(Q175),"",IF(Q175&gt;$C$6,1,IF(Q175&lt;$C$6,-1,"")))</f>
        <v/>
      </c>
    </row>
    <row r="176">
      <c r="P176">
        <f>IF(INDEX('Data'!$D$6:$F$205,167,'Summary'!$P$5)="",NA(),167)</f>
        <v/>
      </c>
      <c r="Q176">
        <f>IF(INDEX('Data'!$D$6:$F$205,167,'Summary'!$P$5)="",NA(),INDEX('Data'!$D$6:$F$205,167,'Summary'!$P$5))</f>
        <v/>
      </c>
      <c r="R176">
        <f>$C$6</f>
        <v/>
      </c>
      <c r="S176">
        <f>IF(ISNA(Q176),"",IF(Q176&gt;$C$6,1,IF(Q176&lt;$C$6,-1,"")))</f>
        <v/>
      </c>
    </row>
    <row r="177">
      <c r="P177">
        <f>IF(INDEX('Data'!$D$6:$F$205,168,'Summary'!$P$5)="",NA(),168)</f>
        <v/>
      </c>
      <c r="Q177">
        <f>IF(INDEX('Data'!$D$6:$F$205,168,'Summary'!$P$5)="",NA(),INDEX('Data'!$D$6:$F$205,168,'Summary'!$P$5))</f>
        <v/>
      </c>
      <c r="R177">
        <f>$C$6</f>
        <v/>
      </c>
      <c r="S177">
        <f>IF(ISNA(Q177),"",IF(Q177&gt;$C$6,1,IF(Q177&lt;$C$6,-1,"")))</f>
        <v/>
      </c>
    </row>
    <row r="178">
      <c r="P178">
        <f>IF(INDEX('Data'!$D$6:$F$205,169,'Summary'!$P$5)="",NA(),169)</f>
        <v/>
      </c>
      <c r="Q178">
        <f>IF(INDEX('Data'!$D$6:$F$205,169,'Summary'!$P$5)="",NA(),INDEX('Data'!$D$6:$F$205,169,'Summary'!$P$5))</f>
        <v/>
      </c>
      <c r="R178">
        <f>$C$6</f>
        <v/>
      </c>
      <c r="S178">
        <f>IF(ISNA(Q178),"",IF(Q178&gt;$C$6,1,IF(Q178&lt;$C$6,-1,"")))</f>
        <v/>
      </c>
    </row>
    <row r="179">
      <c r="P179">
        <f>IF(INDEX('Data'!$D$6:$F$205,170,'Summary'!$P$5)="",NA(),170)</f>
        <v/>
      </c>
      <c r="Q179">
        <f>IF(INDEX('Data'!$D$6:$F$205,170,'Summary'!$P$5)="",NA(),INDEX('Data'!$D$6:$F$205,170,'Summary'!$P$5))</f>
        <v/>
      </c>
      <c r="R179">
        <f>$C$6</f>
        <v/>
      </c>
      <c r="S179">
        <f>IF(ISNA(Q179),"",IF(Q179&gt;$C$6,1,IF(Q179&lt;$C$6,-1,"")))</f>
        <v/>
      </c>
    </row>
    <row r="180">
      <c r="P180">
        <f>IF(INDEX('Data'!$D$6:$F$205,171,'Summary'!$P$5)="",NA(),171)</f>
        <v/>
      </c>
      <c r="Q180">
        <f>IF(INDEX('Data'!$D$6:$F$205,171,'Summary'!$P$5)="",NA(),INDEX('Data'!$D$6:$F$205,171,'Summary'!$P$5))</f>
        <v/>
      </c>
      <c r="R180">
        <f>$C$6</f>
        <v/>
      </c>
      <c r="S180">
        <f>IF(ISNA(Q180),"",IF(Q180&gt;$C$6,1,IF(Q180&lt;$C$6,-1,"")))</f>
        <v/>
      </c>
    </row>
    <row r="181">
      <c r="P181">
        <f>IF(INDEX('Data'!$D$6:$F$205,172,'Summary'!$P$5)="",NA(),172)</f>
        <v/>
      </c>
      <c r="Q181">
        <f>IF(INDEX('Data'!$D$6:$F$205,172,'Summary'!$P$5)="",NA(),INDEX('Data'!$D$6:$F$205,172,'Summary'!$P$5))</f>
        <v/>
      </c>
      <c r="R181">
        <f>$C$6</f>
        <v/>
      </c>
      <c r="S181">
        <f>IF(ISNA(Q181),"",IF(Q181&gt;$C$6,1,IF(Q181&lt;$C$6,-1,"")))</f>
        <v/>
      </c>
    </row>
    <row r="182">
      <c r="P182">
        <f>IF(INDEX('Data'!$D$6:$F$205,173,'Summary'!$P$5)="",NA(),173)</f>
        <v/>
      </c>
      <c r="Q182">
        <f>IF(INDEX('Data'!$D$6:$F$205,173,'Summary'!$P$5)="",NA(),INDEX('Data'!$D$6:$F$205,173,'Summary'!$P$5))</f>
        <v/>
      </c>
      <c r="R182">
        <f>$C$6</f>
        <v/>
      </c>
      <c r="S182">
        <f>IF(ISNA(Q182),"",IF(Q182&gt;$C$6,1,IF(Q182&lt;$C$6,-1,"")))</f>
        <v/>
      </c>
    </row>
    <row r="183">
      <c r="P183">
        <f>IF(INDEX('Data'!$D$6:$F$205,174,'Summary'!$P$5)="",NA(),174)</f>
        <v/>
      </c>
      <c r="Q183">
        <f>IF(INDEX('Data'!$D$6:$F$205,174,'Summary'!$P$5)="",NA(),INDEX('Data'!$D$6:$F$205,174,'Summary'!$P$5))</f>
        <v/>
      </c>
      <c r="R183">
        <f>$C$6</f>
        <v/>
      </c>
      <c r="S183">
        <f>IF(ISNA(Q183),"",IF(Q183&gt;$C$6,1,IF(Q183&lt;$C$6,-1,"")))</f>
        <v/>
      </c>
    </row>
    <row r="184">
      <c r="P184">
        <f>IF(INDEX('Data'!$D$6:$F$205,175,'Summary'!$P$5)="",NA(),175)</f>
        <v/>
      </c>
      <c r="Q184">
        <f>IF(INDEX('Data'!$D$6:$F$205,175,'Summary'!$P$5)="",NA(),INDEX('Data'!$D$6:$F$205,175,'Summary'!$P$5))</f>
        <v/>
      </c>
      <c r="R184">
        <f>$C$6</f>
        <v/>
      </c>
      <c r="S184">
        <f>IF(ISNA(Q184),"",IF(Q184&gt;$C$6,1,IF(Q184&lt;$C$6,-1,"")))</f>
        <v/>
      </c>
    </row>
    <row r="185">
      <c r="P185">
        <f>IF(INDEX('Data'!$D$6:$F$205,176,'Summary'!$P$5)="",NA(),176)</f>
        <v/>
      </c>
      <c r="Q185">
        <f>IF(INDEX('Data'!$D$6:$F$205,176,'Summary'!$P$5)="",NA(),INDEX('Data'!$D$6:$F$205,176,'Summary'!$P$5))</f>
        <v/>
      </c>
      <c r="R185">
        <f>$C$6</f>
        <v/>
      </c>
      <c r="S185">
        <f>IF(ISNA(Q185),"",IF(Q185&gt;$C$6,1,IF(Q185&lt;$C$6,-1,"")))</f>
        <v/>
      </c>
    </row>
    <row r="186">
      <c r="P186">
        <f>IF(INDEX('Data'!$D$6:$F$205,177,'Summary'!$P$5)="",NA(),177)</f>
        <v/>
      </c>
      <c r="Q186">
        <f>IF(INDEX('Data'!$D$6:$F$205,177,'Summary'!$P$5)="",NA(),INDEX('Data'!$D$6:$F$205,177,'Summary'!$P$5))</f>
        <v/>
      </c>
      <c r="R186">
        <f>$C$6</f>
        <v/>
      </c>
      <c r="S186">
        <f>IF(ISNA(Q186),"",IF(Q186&gt;$C$6,1,IF(Q186&lt;$C$6,-1,"")))</f>
        <v/>
      </c>
    </row>
    <row r="187">
      <c r="P187">
        <f>IF(INDEX('Data'!$D$6:$F$205,178,'Summary'!$P$5)="",NA(),178)</f>
        <v/>
      </c>
      <c r="Q187">
        <f>IF(INDEX('Data'!$D$6:$F$205,178,'Summary'!$P$5)="",NA(),INDEX('Data'!$D$6:$F$205,178,'Summary'!$P$5))</f>
        <v/>
      </c>
      <c r="R187">
        <f>$C$6</f>
        <v/>
      </c>
      <c r="S187">
        <f>IF(ISNA(Q187),"",IF(Q187&gt;$C$6,1,IF(Q187&lt;$C$6,-1,"")))</f>
        <v/>
      </c>
    </row>
    <row r="188">
      <c r="P188">
        <f>IF(INDEX('Data'!$D$6:$F$205,179,'Summary'!$P$5)="",NA(),179)</f>
        <v/>
      </c>
      <c r="Q188">
        <f>IF(INDEX('Data'!$D$6:$F$205,179,'Summary'!$P$5)="",NA(),INDEX('Data'!$D$6:$F$205,179,'Summary'!$P$5))</f>
        <v/>
      </c>
      <c r="R188">
        <f>$C$6</f>
        <v/>
      </c>
      <c r="S188">
        <f>IF(ISNA(Q188),"",IF(Q188&gt;$C$6,1,IF(Q188&lt;$C$6,-1,"")))</f>
        <v/>
      </c>
    </row>
    <row r="189">
      <c r="P189">
        <f>IF(INDEX('Data'!$D$6:$F$205,180,'Summary'!$P$5)="",NA(),180)</f>
        <v/>
      </c>
      <c r="Q189">
        <f>IF(INDEX('Data'!$D$6:$F$205,180,'Summary'!$P$5)="",NA(),INDEX('Data'!$D$6:$F$205,180,'Summary'!$P$5))</f>
        <v/>
      </c>
      <c r="R189">
        <f>$C$6</f>
        <v/>
      </c>
      <c r="S189">
        <f>IF(ISNA(Q189),"",IF(Q189&gt;$C$6,1,IF(Q189&lt;$C$6,-1,"")))</f>
        <v/>
      </c>
    </row>
    <row r="190">
      <c r="P190">
        <f>IF(INDEX('Data'!$D$6:$F$205,181,'Summary'!$P$5)="",NA(),181)</f>
        <v/>
      </c>
      <c r="Q190">
        <f>IF(INDEX('Data'!$D$6:$F$205,181,'Summary'!$P$5)="",NA(),INDEX('Data'!$D$6:$F$205,181,'Summary'!$P$5))</f>
        <v/>
      </c>
      <c r="R190">
        <f>$C$6</f>
        <v/>
      </c>
      <c r="S190">
        <f>IF(ISNA(Q190),"",IF(Q190&gt;$C$6,1,IF(Q190&lt;$C$6,-1,"")))</f>
        <v/>
      </c>
    </row>
    <row r="191">
      <c r="P191">
        <f>IF(INDEX('Data'!$D$6:$F$205,182,'Summary'!$P$5)="",NA(),182)</f>
        <v/>
      </c>
      <c r="Q191">
        <f>IF(INDEX('Data'!$D$6:$F$205,182,'Summary'!$P$5)="",NA(),INDEX('Data'!$D$6:$F$205,182,'Summary'!$P$5))</f>
        <v/>
      </c>
      <c r="R191">
        <f>$C$6</f>
        <v/>
      </c>
      <c r="S191">
        <f>IF(ISNA(Q191),"",IF(Q191&gt;$C$6,1,IF(Q191&lt;$C$6,-1,"")))</f>
        <v/>
      </c>
    </row>
    <row r="192">
      <c r="P192">
        <f>IF(INDEX('Data'!$D$6:$F$205,183,'Summary'!$P$5)="",NA(),183)</f>
        <v/>
      </c>
      <c r="Q192">
        <f>IF(INDEX('Data'!$D$6:$F$205,183,'Summary'!$P$5)="",NA(),INDEX('Data'!$D$6:$F$205,183,'Summary'!$P$5))</f>
        <v/>
      </c>
      <c r="R192">
        <f>$C$6</f>
        <v/>
      </c>
      <c r="S192">
        <f>IF(ISNA(Q192),"",IF(Q192&gt;$C$6,1,IF(Q192&lt;$C$6,-1,"")))</f>
        <v/>
      </c>
    </row>
    <row r="193">
      <c r="P193">
        <f>IF(INDEX('Data'!$D$6:$F$205,184,'Summary'!$P$5)="",NA(),184)</f>
        <v/>
      </c>
      <c r="Q193">
        <f>IF(INDEX('Data'!$D$6:$F$205,184,'Summary'!$P$5)="",NA(),INDEX('Data'!$D$6:$F$205,184,'Summary'!$P$5))</f>
        <v/>
      </c>
      <c r="R193">
        <f>$C$6</f>
        <v/>
      </c>
      <c r="S193">
        <f>IF(ISNA(Q193),"",IF(Q193&gt;$C$6,1,IF(Q193&lt;$C$6,-1,"")))</f>
        <v/>
      </c>
    </row>
    <row r="194">
      <c r="P194">
        <f>IF(INDEX('Data'!$D$6:$F$205,185,'Summary'!$P$5)="",NA(),185)</f>
        <v/>
      </c>
      <c r="Q194">
        <f>IF(INDEX('Data'!$D$6:$F$205,185,'Summary'!$P$5)="",NA(),INDEX('Data'!$D$6:$F$205,185,'Summary'!$P$5))</f>
        <v/>
      </c>
      <c r="R194">
        <f>$C$6</f>
        <v/>
      </c>
      <c r="S194">
        <f>IF(ISNA(Q194),"",IF(Q194&gt;$C$6,1,IF(Q194&lt;$C$6,-1,"")))</f>
        <v/>
      </c>
    </row>
    <row r="195">
      <c r="P195">
        <f>IF(INDEX('Data'!$D$6:$F$205,186,'Summary'!$P$5)="",NA(),186)</f>
        <v/>
      </c>
      <c r="Q195">
        <f>IF(INDEX('Data'!$D$6:$F$205,186,'Summary'!$P$5)="",NA(),INDEX('Data'!$D$6:$F$205,186,'Summary'!$P$5))</f>
        <v/>
      </c>
      <c r="R195">
        <f>$C$6</f>
        <v/>
      </c>
      <c r="S195">
        <f>IF(ISNA(Q195),"",IF(Q195&gt;$C$6,1,IF(Q195&lt;$C$6,-1,"")))</f>
        <v/>
      </c>
    </row>
    <row r="196">
      <c r="P196">
        <f>IF(INDEX('Data'!$D$6:$F$205,187,'Summary'!$P$5)="",NA(),187)</f>
        <v/>
      </c>
      <c r="Q196">
        <f>IF(INDEX('Data'!$D$6:$F$205,187,'Summary'!$P$5)="",NA(),INDEX('Data'!$D$6:$F$205,187,'Summary'!$P$5))</f>
        <v/>
      </c>
      <c r="R196">
        <f>$C$6</f>
        <v/>
      </c>
      <c r="S196">
        <f>IF(ISNA(Q196),"",IF(Q196&gt;$C$6,1,IF(Q196&lt;$C$6,-1,"")))</f>
        <v/>
      </c>
    </row>
    <row r="197">
      <c r="P197">
        <f>IF(INDEX('Data'!$D$6:$F$205,188,'Summary'!$P$5)="",NA(),188)</f>
        <v/>
      </c>
      <c r="Q197">
        <f>IF(INDEX('Data'!$D$6:$F$205,188,'Summary'!$P$5)="",NA(),INDEX('Data'!$D$6:$F$205,188,'Summary'!$P$5))</f>
        <v/>
      </c>
      <c r="R197">
        <f>$C$6</f>
        <v/>
      </c>
      <c r="S197">
        <f>IF(ISNA(Q197),"",IF(Q197&gt;$C$6,1,IF(Q197&lt;$C$6,-1,"")))</f>
        <v/>
      </c>
    </row>
    <row r="198">
      <c r="P198">
        <f>IF(INDEX('Data'!$D$6:$F$205,189,'Summary'!$P$5)="",NA(),189)</f>
        <v/>
      </c>
      <c r="Q198">
        <f>IF(INDEX('Data'!$D$6:$F$205,189,'Summary'!$P$5)="",NA(),INDEX('Data'!$D$6:$F$205,189,'Summary'!$P$5))</f>
        <v/>
      </c>
      <c r="R198">
        <f>$C$6</f>
        <v/>
      </c>
      <c r="S198">
        <f>IF(ISNA(Q198),"",IF(Q198&gt;$C$6,1,IF(Q198&lt;$C$6,-1,"")))</f>
        <v/>
      </c>
    </row>
    <row r="199">
      <c r="P199">
        <f>IF(INDEX('Data'!$D$6:$F$205,190,'Summary'!$P$5)="",NA(),190)</f>
        <v/>
      </c>
      <c r="Q199">
        <f>IF(INDEX('Data'!$D$6:$F$205,190,'Summary'!$P$5)="",NA(),INDEX('Data'!$D$6:$F$205,190,'Summary'!$P$5))</f>
        <v/>
      </c>
      <c r="R199">
        <f>$C$6</f>
        <v/>
      </c>
      <c r="S199">
        <f>IF(ISNA(Q199),"",IF(Q199&gt;$C$6,1,IF(Q199&lt;$C$6,-1,"")))</f>
        <v/>
      </c>
    </row>
    <row r="200">
      <c r="P200">
        <f>IF(INDEX('Data'!$D$6:$F$205,191,'Summary'!$P$5)="",NA(),191)</f>
        <v/>
      </c>
      <c r="Q200">
        <f>IF(INDEX('Data'!$D$6:$F$205,191,'Summary'!$P$5)="",NA(),INDEX('Data'!$D$6:$F$205,191,'Summary'!$P$5))</f>
        <v/>
      </c>
      <c r="R200">
        <f>$C$6</f>
        <v/>
      </c>
      <c r="S200">
        <f>IF(ISNA(Q200),"",IF(Q200&gt;$C$6,1,IF(Q200&lt;$C$6,-1,"")))</f>
        <v/>
      </c>
    </row>
    <row r="201">
      <c r="P201">
        <f>IF(INDEX('Data'!$D$6:$F$205,192,'Summary'!$P$5)="",NA(),192)</f>
        <v/>
      </c>
      <c r="Q201">
        <f>IF(INDEX('Data'!$D$6:$F$205,192,'Summary'!$P$5)="",NA(),INDEX('Data'!$D$6:$F$205,192,'Summary'!$P$5))</f>
        <v/>
      </c>
      <c r="R201">
        <f>$C$6</f>
        <v/>
      </c>
      <c r="S201">
        <f>IF(ISNA(Q201),"",IF(Q201&gt;$C$6,1,IF(Q201&lt;$C$6,-1,"")))</f>
        <v/>
      </c>
    </row>
    <row r="202">
      <c r="P202">
        <f>IF(INDEX('Data'!$D$6:$F$205,193,'Summary'!$P$5)="",NA(),193)</f>
        <v/>
      </c>
      <c r="Q202">
        <f>IF(INDEX('Data'!$D$6:$F$205,193,'Summary'!$P$5)="",NA(),INDEX('Data'!$D$6:$F$205,193,'Summary'!$P$5))</f>
        <v/>
      </c>
      <c r="R202">
        <f>$C$6</f>
        <v/>
      </c>
      <c r="S202">
        <f>IF(ISNA(Q202),"",IF(Q202&gt;$C$6,1,IF(Q202&lt;$C$6,-1,"")))</f>
        <v/>
      </c>
    </row>
    <row r="203">
      <c r="P203">
        <f>IF(INDEX('Data'!$D$6:$F$205,194,'Summary'!$P$5)="",NA(),194)</f>
        <v/>
      </c>
      <c r="Q203">
        <f>IF(INDEX('Data'!$D$6:$F$205,194,'Summary'!$P$5)="",NA(),INDEX('Data'!$D$6:$F$205,194,'Summary'!$P$5))</f>
        <v/>
      </c>
      <c r="R203">
        <f>$C$6</f>
        <v/>
      </c>
      <c r="S203">
        <f>IF(ISNA(Q203),"",IF(Q203&gt;$C$6,1,IF(Q203&lt;$C$6,-1,"")))</f>
        <v/>
      </c>
    </row>
    <row r="204">
      <c r="P204">
        <f>IF(INDEX('Data'!$D$6:$F$205,195,'Summary'!$P$5)="",NA(),195)</f>
        <v/>
      </c>
      <c r="Q204">
        <f>IF(INDEX('Data'!$D$6:$F$205,195,'Summary'!$P$5)="",NA(),INDEX('Data'!$D$6:$F$205,195,'Summary'!$P$5))</f>
        <v/>
      </c>
      <c r="R204">
        <f>$C$6</f>
        <v/>
      </c>
      <c r="S204">
        <f>IF(ISNA(Q204),"",IF(Q204&gt;$C$6,1,IF(Q204&lt;$C$6,-1,"")))</f>
        <v/>
      </c>
    </row>
    <row r="205">
      <c r="P205">
        <f>IF(INDEX('Data'!$D$6:$F$205,196,'Summary'!$P$5)="",NA(),196)</f>
        <v/>
      </c>
      <c r="Q205">
        <f>IF(INDEX('Data'!$D$6:$F$205,196,'Summary'!$P$5)="",NA(),INDEX('Data'!$D$6:$F$205,196,'Summary'!$P$5))</f>
        <v/>
      </c>
      <c r="R205">
        <f>$C$6</f>
        <v/>
      </c>
      <c r="S205">
        <f>IF(ISNA(Q205),"",IF(Q205&gt;$C$6,1,IF(Q205&lt;$C$6,-1,"")))</f>
        <v/>
      </c>
    </row>
    <row r="206">
      <c r="P206">
        <f>IF(INDEX('Data'!$D$6:$F$205,197,'Summary'!$P$5)="",NA(),197)</f>
        <v/>
      </c>
      <c r="Q206">
        <f>IF(INDEX('Data'!$D$6:$F$205,197,'Summary'!$P$5)="",NA(),INDEX('Data'!$D$6:$F$205,197,'Summary'!$P$5))</f>
        <v/>
      </c>
      <c r="R206">
        <f>$C$6</f>
        <v/>
      </c>
      <c r="S206">
        <f>IF(ISNA(Q206),"",IF(Q206&gt;$C$6,1,IF(Q206&lt;$C$6,-1,"")))</f>
        <v/>
      </c>
    </row>
    <row r="207">
      <c r="P207">
        <f>IF(INDEX('Data'!$D$6:$F$205,198,'Summary'!$P$5)="",NA(),198)</f>
        <v/>
      </c>
      <c r="Q207">
        <f>IF(INDEX('Data'!$D$6:$F$205,198,'Summary'!$P$5)="",NA(),INDEX('Data'!$D$6:$F$205,198,'Summary'!$P$5))</f>
        <v/>
      </c>
      <c r="R207">
        <f>$C$6</f>
        <v/>
      </c>
      <c r="S207">
        <f>IF(ISNA(Q207),"",IF(Q207&gt;$C$6,1,IF(Q207&lt;$C$6,-1,"")))</f>
        <v/>
      </c>
    </row>
    <row r="208">
      <c r="P208">
        <f>IF(INDEX('Data'!$D$6:$F$205,199,'Summary'!$P$5)="",NA(),199)</f>
        <v/>
      </c>
      <c r="Q208">
        <f>IF(INDEX('Data'!$D$6:$F$205,199,'Summary'!$P$5)="",NA(),INDEX('Data'!$D$6:$F$205,199,'Summary'!$P$5))</f>
        <v/>
      </c>
      <c r="R208">
        <f>$C$6</f>
        <v/>
      </c>
      <c r="S208">
        <f>IF(ISNA(Q208),"",IF(Q208&gt;$C$6,1,IF(Q208&lt;$C$6,-1,"")))</f>
        <v/>
      </c>
    </row>
    <row r="209">
      <c r="P209">
        <f>IF(INDEX('Data'!$D$6:$F$205,200,'Summary'!$P$5)="",NA(),200)</f>
        <v/>
      </c>
      <c r="Q209">
        <f>IF(INDEX('Data'!$D$6:$F$205,200,'Summary'!$P$5)="",NA(),INDEX('Data'!$D$6:$F$205,200,'Summary'!$P$5))</f>
        <v/>
      </c>
      <c r="R209">
        <f>$C$6</f>
        <v/>
      </c>
      <c r="S209">
        <f>IF(ISNA(Q209),"",IF(Q209&gt;$C$6,1,IF(Q209&lt;$C$6,-1,"")))</f>
        <v/>
      </c>
    </row>
  </sheetData>
  <mergeCells count="1">
    <mergeCell ref="B9:C9"/>
  </mergeCells>
  <pageMargins left="0.75" right="0.75" top="1" bottom="1" header="0.5" footer="0.5"/>
  <pageSetup orientation="landscape" fitToHeight="1" fitToWidth="1"/>
  <headerFooter>
    <oddHeader/>
    <oddFooter>&amp;LSKILLAGILITY · skillagility.com&amp;R&amp;P / &amp;N</oddFooter>
    <evenHeader/>
    <evenFooter/>
    <firstHeader/>
    <firstFooter/>
  </headerFooter>
  <drawing xmlns:r="http://schemas.openxmlformats.org/officeDocument/2006/relationships" r:id="rId1"/>
</worksheet>
</file>

<file path=xl/worksheets/sheet6.xml><?xml version="1.0" encoding="utf-8"?>
<worksheet xmlns="http://schemas.openxmlformats.org/spreadsheetml/2006/main">
  <sheetPr>
    <tabColor rgb="0000BFF0"/>
    <outlinePr summaryBelow="1" summaryRight="1"/>
    <pageSetUpPr fitToPage="1"/>
  </sheetPr>
  <dimension ref="A1:R209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.5" customWidth="1" min="1" max="1"/>
    <col width="34" customWidth="1" min="2" max="2"/>
    <col width="18" customWidth="1" min="3" max="3"/>
    <col hidden="1" width="13" customWidth="1" min="16" max="16"/>
    <col hidden="1" width="13" customWidth="1" min="17" max="17"/>
    <col hidden="1" width="13" customWidth="1" min="18" max="18"/>
  </cols>
  <sheetData>
    <row r="1" ht="30" customHeight="1">
      <c r="A1" s="1" t="n"/>
      <c r="B1" s="2" t="inlineStr">
        <is>
          <t>Scatter Plot &amp; Correlation</t>
        </is>
      </c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3" t="inlineStr">
        <is>
          <t>SKILLAGILITY</t>
        </is>
      </c>
    </row>
    <row r="2" ht="18" customHeight="1">
      <c r="A2" s="1" t="n"/>
      <c r="B2" s="4" t="inlineStr">
        <is>
          <t>DOES Y MOVE TOGETHER WITH X?</t>
        </is>
      </c>
      <c r="C2" s="1" t="n"/>
      <c r="D2" s="1" t="n"/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</row>
    <row r="3" ht="4" customHeight="1">
      <c r="A3" s="5" t="n"/>
      <c r="B3" s="5" t="n"/>
      <c r="C3" s="5" t="n"/>
      <c r="D3" s="5" t="n"/>
      <c r="E3" s="5" t="n"/>
      <c r="F3" s="5" t="n"/>
      <c r="G3" s="5" t="n"/>
      <c r="H3" s="5" t="n"/>
      <c r="I3" s="5" t="n"/>
      <c r="J3" s="5" t="n"/>
      <c r="K3" s="6" t="n"/>
      <c r="L3" s="6" t="n"/>
      <c r="M3" s="6" t="n"/>
      <c r="N3" s="6" t="n"/>
    </row>
    <row r="5">
      <c r="B5" s="15" t="inlineStr">
        <is>
          <t>X variable (input / cause)</t>
        </is>
      </c>
      <c r="C5" s="12" t="inlineStr">
        <is>
          <t>Orders per day</t>
        </is>
      </c>
      <c r="P5">
        <f>MATCH(C5,'Data'!$D$5:$F$5,0)</f>
        <v/>
      </c>
      <c r="R5">
        <f>SUMPRODUCT(--ISNUMBER($P$10:$P$209),--ISNUMBER($Q$10:$Q$209))</f>
        <v/>
      </c>
    </row>
    <row r="6">
      <c r="B6" s="15" t="inlineStr">
        <is>
          <t>Y variable (output / effect)</t>
        </is>
      </c>
      <c r="C6" s="12" t="inlineStr">
        <is>
          <t>Entry errors</t>
        </is>
      </c>
      <c r="P6">
        <f>MATCH(C6,'Data'!$D$5:$F$5,0)</f>
        <v/>
      </c>
    </row>
    <row r="8">
      <c r="B8" s="13" t="inlineStr">
        <is>
          <t>Pairs (n)</t>
        </is>
      </c>
      <c r="C8" s="25">
        <f>$R$5</f>
        <v/>
      </c>
    </row>
    <row r="9">
      <c r="B9" s="15" t="inlineStr">
        <is>
          <t>Correlation coefficient (r)</t>
        </is>
      </c>
      <c r="C9" s="26">
        <f>IFERROR(CORREL($P$10:$P$209,$R$10:$R$209),"")</f>
        <v/>
      </c>
    </row>
    <row r="10">
      <c r="B10" s="13" t="inlineStr">
        <is>
          <t>Coefficient of determination (R²)</t>
        </is>
      </c>
      <c r="C10" s="28">
        <f>IFERROR(C9^2,"")</f>
        <v/>
      </c>
      <c r="P10">
        <f>IF(OR(INDEX('Data'!$D$6:$F$205,1,$P$5)="",INDEX('Data'!$D$6:$F$205,1,$P$6)=""),"",INDEX('Data'!$D$6:$F$205,1,$P$5))</f>
        <v/>
      </c>
      <c r="Q10">
        <f>IF(OR(INDEX('Data'!$D$6:$F$205,1,$P$5)="",INDEX('Data'!$D$6:$F$205,1,$P$6)=""),NA(),INDEX('Data'!$D$6:$F$205,1,$P$6))</f>
        <v/>
      </c>
      <c r="R10">
        <f>IF(ISNA(Q10),"",Q10)</f>
        <v/>
      </c>
    </row>
    <row r="11">
      <c r="B11" s="13" t="inlineStr">
        <is>
          <t>Slope (change in Y per unit of X)</t>
        </is>
      </c>
      <c r="C11" s="32">
        <f>IFERROR(SLOPE($R$10:$R$209,$P$10:$P$209),"")</f>
        <v/>
      </c>
      <c r="P11">
        <f>IF(OR(INDEX('Data'!$D$6:$F$205,2,$P$5)="",INDEX('Data'!$D$6:$F$205,2,$P$6)=""),"",INDEX('Data'!$D$6:$F$205,2,$P$5))</f>
        <v/>
      </c>
      <c r="Q11">
        <f>IF(OR(INDEX('Data'!$D$6:$F$205,2,$P$5)="",INDEX('Data'!$D$6:$F$205,2,$P$6)=""),NA(),INDEX('Data'!$D$6:$F$205,2,$P$6))</f>
        <v/>
      </c>
      <c r="R11">
        <f>IF(ISNA(Q11),"",Q11)</f>
        <v/>
      </c>
    </row>
    <row r="12">
      <c r="B12" s="13" t="inlineStr">
        <is>
          <t>Intercept</t>
        </is>
      </c>
      <c r="C12" s="27">
        <f>IFERROR(INTERCEPT($R$10:$R$209,$P$10:$P$209),"")</f>
        <v/>
      </c>
      <c r="P12">
        <f>IF(OR(INDEX('Data'!$D$6:$F$205,3,$P$5)="",INDEX('Data'!$D$6:$F$205,3,$P$6)=""),"",INDEX('Data'!$D$6:$F$205,3,$P$5))</f>
        <v/>
      </c>
      <c r="Q12">
        <f>IF(OR(INDEX('Data'!$D$6:$F$205,3,$P$5)="",INDEX('Data'!$D$6:$F$205,3,$P$6)=""),NA(),INDEX('Data'!$D$6:$F$205,3,$P$6))</f>
        <v/>
      </c>
      <c r="R12">
        <f>IF(ISNA(Q12),"",Q12)</f>
        <v/>
      </c>
    </row>
    <row r="13">
      <c r="B13" s="15" t="inlineStr">
        <is>
          <t>p-value (H0: no correlation)</t>
        </is>
      </c>
      <c r="C13" s="33">
        <f>IFERROR(_xlfn.T.DIST.2T(ABS(C9)*SQRT((C8-2)/(1-C9^2)),C8-2),"")</f>
        <v/>
      </c>
      <c r="P13">
        <f>IF(OR(INDEX('Data'!$D$6:$F$205,4,$P$5)="",INDEX('Data'!$D$6:$F$205,4,$P$6)=""),"",INDEX('Data'!$D$6:$F$205,4,$P$5))</f>
        <v/>
      </c>
      <c r="Q13">
        <f>IF(OR(INDEX('Data'!$D$6:$F$205,4,$P$5)="",INDEX('Data'!$D$6:$F$205,4,$P$6)=""),NA(),INDEX('Data'!$D$6:$F$205,4,$P$6))</f>
        <v/>
      </c>
      <c r="R13">
        <f>IF(ISNA(Q13),"",Q13)</f>
        <v/>
      </c>
    </row>
    <row r="14">
      <c r="B14" s="13" t="inlineStr">
        <is>
          <t>Strength</t>
        </is>
      </c>
      <c r="C14" s="14">
        <f>IF(C9="","",IF(ABS(C9)&gt;=0.7,"strong",IF(ABS(C9)&gt;=0.4,"moderate","weak")))</f>
        <v/>
      </c>
      <c r="P14">
        <f>IF(OR(INDEX('Data'!$D$6:$F$205,5,$P$5)="",INDEX('Data'!$D$6:$F$205,5,$P$6)=""),"",INDEX('Data'!$D$6:$F$205,5,$P$5))</f>
        <v/>
      </c>
      <c r="Q14">
        <f>IF(OR(INDEX('Data'!$D$6:$F$205,5,$P$5)="",INDEX('Data'!$D$6:$F$205,5,$P$6)=""),NA(),INDEX('Data'!$D$6:$F$205,5,$P$6))</f>
        <v/>
      </c>
      <c r="R14">
        <f>IF(ISNA(Q14),"",Q14)</f>
        <v/>
      </c>
    </row>
    <row r="15">
      <c r="B15" s="13" t="inlineStr">
        <is>
          <t>Statistically significant (α = 0.05)?</t>
        </is>
      </c>
      <c r="C15" s="14">
        <f>IF(C13="","",IF(C13&lt;0.05,"yes","no"))</f>
        <v/>
      </c>
      <c r="P15">
        <f>IF(OR(INDEX('Data'!$D$6:$F$205,6,$P$5)="",INDEX('Data'!$D$6:$F$205,6,$P$6)=""),"",INDEX('Data'!$D$6:$F$205,6,$P$5))</f>
        <v/>
      </c>
      <c r="Q15">
        <f>IF(OR(INDEX('Data'!$D$6:$F$205,6,$P$5)="",INDEX('Data'!$D$6:$F$205,6,$P$6)=""),NA(),INDEX('Data'!$D$6:$F$205,6,$P$6))</f>
        <v/>
      </c>
      <c r="R15">
        <f>IF(ISNA(Q15),"",Q15)</f>
        <v/>
      </c>
    </row>
    <row r="16">
      <c r="P16">
        <f>IF(OR(INDEX('Data'!$D$6:$F$205,7,$P$5)="",INDEX('Data'!$D$6:$F$205,7,$P$6)=""),"",INDEX('Data'!$D$6:$F$205,7,$P$5))</f>
        <v/>
      </c>
      <c r="Q16">
        <f>IF(OR(INDEX('Data'!$D$6:$F$205,7,$P$5)="",INDEX('Data'!$D$6:$F$205,7,$P$6)=""),NA(),INDEX('Data'!$D$6:$F$205,7,$P$6))</f>
        <v/>
      </c>
      <c r="R16">
        <f>IF(ISNA(Q16),"",Q16)</f>
        <v/>
      </c>
    </row>
    <row r="17">
      <c r="B17" s="15" t="inlineStr">
        <is>
          <t>Prediction: Y for X =</t>
        </is>
      </c>
      <c r="C17" s="23" t="n">
        <v>450</v>
      </c>
      <c r="P17">
        <f>IF(OR(INDEX('Data'!$D$6:$F$205,8,$P$5)="",INDEX('Data'!$D$6:$F$205,8,$P$6)=""),"",INDEX('Data'!$D$6:$F$205,8,$P$5))</f>
        <v/>
      </c>
      <c r="Q17">
        <f>IF(OR(INDEX('Data'!$D$6:$F$205,8,$P$5)="",INDEX('Data'!$D$6:$F$205,8,$P$6)=""),NA(),INDEX('Data'!$D$6:$F$205,8,$P$6))</f>
        <v/>
      </c>
      <c r="R17">
        <f>IF(ISNA(Q17),"",Q17)</f>
        <v/>
      </c>
    </row>
    <row r="18">
      <c r="B18" s="13" t="inlineStr">
        <is>
          <t>Predicted Y</t>
        </is>
      </c>
      <c r="C18" s="34">
        <f>IFERROR(C12+C11*C17,"")</f>
        <v/>
      </c>
      <c r="P18">
        <f>IF(OR(INDEX('Data'!$D$6:$F$205,9,$P$5)="",INDEX('Data'!$D$6:$F$205,9,$P$6)=""),"",INDEX('Data'!$D$6:$F$205,9,$P$5))</f>
        <v/>
      </c>
      <c r="Q18">
        <f>IF(OR(INDEX('Data'!$D$6:$F$205,9,$P$5)="",INDEX('Data'!$D$6:$F$205,9,$P$6)=""),NA(),INDEX('Data'!$D$6:$F$205,9,$P$6))</f>
        <v/>
      </c>
      <c r="R18">
        <f>IF(ISNA(Q18),"",Q18)</f>
        <v/>
      </c>
    </row>
    <row r="19">
      <c r="P19">
        <f>IF(OR(INDEX('Data'!$D$6:$F$205,10,$P$5)="",INDEX('Data'!$D$6:$F$205,10,$P$6)=""),"",INDEX('Data'!$D$6:$F$205,10,$P$5))</f>
        <v/>
      </c>
      <c r="Q19">
        <f>IF(OR(INDEX('Data'!$D$6:$F$205,10,$P$5)="",INDEX('Data'!$D$6:$F$205,10,$P$6)=""),NA(),INDEX('Data'!$D$6:$F$205,10,$P$6))</f>
        <v/>
      </c>
      <c r="R19">
        <f>IF(ISNA(Q19),"",Q19)</f>
        <v/>
      </c>
    </row>
    <row r="20" ht="52" customHeight="1">
      <c r="B20" s="20" t="inlineStr">
        <is>
          <t>|r| ≥ 0.7 strong · 0.4–0.7 moderate · &lt; 0.4 weak. A strong correlation tells you where to look, not that X causes Y — confirm the cause in Analyze (A4).</t>
        </is>
      </c>
      <c r="P20">
        <f>IF(OR(INDEX('Data'!$D$6:$F$205,11,$P$5)="",INDEX('Data'!$D$6:$F$205,11,$P$6)=""),"",INDEX('Data'!$D$6:$F$205,11,$P$5))</f>
        <v/>
      </c>
      <c r="Q20">
        <f>IF(OR(INDEX('Data'!$D$6:$F$205,11,$P$5)="",INDEX('Data'!$D$6:$F$205,11,$P$6)=""),NA(),INDEX('Data'!$D$6:$F$205,11,$P$6))</f>
        <v/>
      </c>
      <c r="R20">
        <f>IF(ISNA(Q20),"",Q20)</f>
        <v/>
      </c>
    </row>
    <row r="21">
      <c r="P21">
        <f>IF(OR(INDEX('Data'!$D$6:$F$205,12,$P$5)="",INDEX('Data'!$D$6:$F$205,12,$P$6)=""),"",INDEX('Data'!$D$6:$F$205,12,$P$5))</f>
        <v/>
      </c>
      <c r="Q21">
        <f>IF(OR(INDEX('Data'!$D$6:$F$205,12,$P$5)="",INDEX('Data'!$D$6:$F$205,12,$P$6)=""),NA(),INDEX('Data'!$D$6:$F$205,12,$P$6))</f>
        <v/>
      </c>
      <c r="R21">
        <f>IF(ISNA(Q21),"",Q21)</f>
        <v/>
      </c>
    </row>
    <row r="22">
      <c r="P22">
        <f>IF(OR(INDEX('Data'!$D$6:$F$205,13,$P$5)="",INDEX('Data'!$D$6:$F$205,13,$P$6)=""),"",INDEX('Data'!$D$6:$F$205,13,$P$5))</f>
        <v/>
      </c>
      <c r="Q22">
        <f>IF(OR(INDEX('Data'!$D$6:$F$205,13,$P$5)="",INDEX('Data'!$D$6:$F$205,13,$P$6)=""),NA(),INDEX('Data'!$D$6:$F$205,13,$P$6))</f>
        <v/>
      </c>
      <c r="R22">
        <f>IF(ISNA(Q22),"",Q22)</f>
        <v/>
      </c>
    </row>
    <row r="23">
      <c r="P23">
        <f>IF(OR(INDEX('Data'!$D$6:$F$205,14,$P$5)="",INDEX('Data'!$D$6:$F$205,14,$P$6)=""),"",INDEX('Data'!$D$6:$F$205,14,$P$5))</f>
        <v/>
      </c>
      <c r="Q23">
        <f>IF(OR(INDEX('Data'!$D$6:$F$205,14,$P$5)="",INDEX('Data'!$D$6:$F$205,14,$P$6)=""),NA(),INDEX('Data'!$D$6:$F$205,14,$P$6))</f>
        <v/>
      </c>
      <c r="R23">
        <f>IF(ISNA(Q23),"",Q23)</f>
        <v/>
      </c>
    </row>
    <row r="24">
      <c r="B24" s="17" t="inlineStr">
        <is>
          <t>© SKILLAGILITY · Operational Excellence training · skillagility.com</t>
        </is>
      </c>
      <c r="P24">
        <f>IF(OR(INDEX('Data'!$D$6:$F$205,15,$P$5)="",INDEX('Data'!$D$6:$F$205,15,$P$6)=""),"",INDEX('Data'!$D$6:$F$205,15,$P$5))</f>
        <v/>
      </c>
      <c r="Q24">
        <f>IF(OR(INDEX('Data'!$D$6:$F$205,15,$P$5)="",INDEX('Data'!$D$6:$F$205,15,$P$6)=""),NA(),INDEX('Data'!$D$6:$F$205,15,$P$6))</f>
        <v/>
      </c>
      <c r="R24">
        <f>IF(ISNA(Q24),"",Q24)</f>
        <v/>
      </c>
    </row>
    <row r="25">
      <c r="P25">
        <f>IF(OR(INDEX('Data'!$D$6:$F$205,16,$P$5)="",INDEX('Data'!$D$6:$F$205,16,$P$6)=""),"",INDEX('Data'!$D$6:$F$205,16,$P$5))</f>
        <v/>
      </c>
      <c r="Q25">
        <f>IF(OR(INDEX('Data'!$D$6:$F$205,16,$P$5)="",INDEX('Data'!$D$6:$F$205,16,$P$6)=""),NA(),INDEX('Data'!$D$6:$F$205,16,$P$6))</f>
        <v/>
      </c>
      <c r="R25">
        <f>IF(ISNA(Q25),"",Q25)</f>
        <v/>
      </c>
    </row>
    <row r="26">
      <c r="P26">
        <f>IF(OR(INDEX('Data'!$D$6:$F$205,17,$P$5)="",INDEX('Data'!$D$6:$F$205,17,$P$6)=""),"",INDEX('Data'!$D$6:$F$205,17,$P$5))</f>
        <v/>
      </c>
      <c r="Q26">
        <f>IF(OR(INDEX('Data'!$D$6:$F$205,17,$P$5)="",INDEX('Data'!$D$6:$F$205,17,$P$6)=""),NA(),INDEX('Data'!$D$6:$F$205,17,$P$6))</f>
        <v/>
      </c>
      <c r="R26">
        <f>IF(ISNA(Q26),"",Q26)</f>
        <v/>
      </c>
    </row>
    <row r="27">
      <c r="P27">
        <f>IF(OR(INDEX('Data'!$D$6:$F$205,18,$P$5)="",INDEX('Data'!$D$6:$F$205,18,$P$6)=""),"",INDEX('Data'!$D$6:$F$205,18,$P$5))</f>
        <v/>
      </c>
      <c r="Q27">
        <f>IF(OR(INDEX('Data'!$D$6:$F$205,18,$P$5)="",INDEX('Data'!$D$6:$F$205,18,$P$6)=""),NA(),INDEX('Data'!$D$6:$F$205,18,$P$6))</f>
        <v/>
      </c>
      <c r="R27">
        <f>IF(ISNA(Q27),"",Q27)</f>
        <v/>
      </c>
    </row>
    <row r="28">
      <c r="P28">
        <f>IF(OR(INDEX('Data'!$D$6:$F$205,19,$P$5)="",INDEX('Data'!$D$6:$F$205,19,$P$6)=""),"",INDEX('Data'!$D$6:$F$205,19,$P$5))</f>
        <v/>
      </c>
      <c r="Q28">
        <f>IF(OR(INDEX('Data'!$D$6:$F$205,19,$P$5)="",INDEX('Data'!$D$6:$F$205,19,$P$6)=""),NA(),INDEX('Data'!$D$6:$F$205,19,$P$6))</f>
        <v/>
      </c>
      <c r="R28">
        <f>IF(ISNA(Q28),"",Q28)</f>
        <v/>
      </c>
    </row>
    <row r="29">
      <c r="P29">
        <f>IF(OR(INDEX('Data'!$D$6:$F$205,20,$P$5)="",INDEX('Data'!$D$6:$F$205,20,$P$6)=""),"",INDEX('Data'!$D$6:$F$205,20,$P$5))</f>
        <v/>
      </c>
      <c r="Q29">
        <f>IF(OR(INDEX('Data'!$D$6:$F$205,20,$P$5)="",INDEX('Data'!$D$6:$F$205,20,$P$6)=""),NA(),INDEX('Data'!$D$6:$F$205,20,$P$6))</f>
        <v/>
      </c>
      <c r="R29">
        <f>IF(ISNA(Q29),"",Q29)</f>
        <v/>
      </c>
    </row>
    <row r="30">
      <c r="P30">
        <f>IF(OR(INDEX('Data'!$D$6:$F$205,21,$P$5)="",INDEX('Data'!$D$6:$F$205,21,$P$6)=""),"",INDEX('Data'!$D$6:$F$205,21,$P$5))</f>
        <v/>
      </c>
      <c r="Q30">
        <f>IF(OR(INDEX('Data'!$D$6:$F$205,21,$P$5)="",INDEX('Data'!$D$6:$F$205,21,$P$6)=""),NA(),INDEX('Data'!$D$6:$F$205,21,$P$6))</f>
        <v/>
      </c>
      <c r="R30">
        <f>IF(ISNA(Q30),"",Q30)</f>
        <v/>
      </c>
    </row>
    <row r="31">
      <c r="P31">
        <f>IF(OR(INDEX('Data'!$D$6:$F$205,22,$P$5)="",INDEX('Data'!$D$6:$F$205,22,$P$6)=""),"",INDEX('Data'!$D$6:$F$205,22,$P$5))</f>
        <v/>
      </c>
      <c r="Q31">
        <f>IF(OR(INDEX('Data'!$D$6:$F$205,22,$P$5)="",INDEX('Data'!$D$6:$F$205,22,$P$6)=""),NA(),INDEX('Data'!$D$6:$F$205,22,$P$6))</f>
        <v/>
      </c>
      <c r="R31">
        <f>IF(ISNA(Q31),"",Q31)</f>
        <v/>
      </c>
    </row>
    <row r="32">
      <c r="P32">
        <f>IF(OR(INDEX('Data'!$D$6:$F$205,23,$P$5)="",INDEX('Data'!$D$6:$F$205,23,$P$6)=""),"",INDEX('Data'!$D$6:$F$205,23,$P$5))</f>
        <v/>
      </c>
      <c r="Q32">
        <f>IF(OR(INDEX('Data'!$D$6:$F$205,23,$P$5)="",INDEX('Data'!$D$6:$F$205,23,$P$6)=""),NA(),INDEX('Data'!$D$6:$F$205,23,$P$6))</f>
        <v/>
      </c>
      <c r="R32">
        <f>IF(ISNA(Q32),"",Q32)</f>
        <v/>
      </c>
    </row>
    <row r="33">
      <c r="P33">
        <f>IF(OR(INDEX('Data'!$D$6:$F$205,24,$P$5)="",INDEX('Data'!$D$6:$F$205,24,$P$6)=""),"",INDEX('Data'!$D$6:$F$205,24,$P$5))</f>
        <v/>
      </c>
      <c r="Q33">
        <f>IF(OR(INDEX('Data'!$D$6:$F$205,24,$P$5)="",INDEX('Data'!$D$6:$F$205,24,$P$6)=""),NA(),INDEX('Data'!$D$6:$F$205,24,$P$6))</f>
        <v/>
      </c>
      <c r="R33">
        <f>IF(ISNA(Q33),"",Q33)</f>
        <v/>
      </c>
    </row>
    <row r="34">
      <c r="P34">
        <f>IF(OR(INDEX('Data'!$D$6:$F$205,25,$P$5)="",INDEX('Data'!$D$6:$F$205,25,$P$6)=""),"",INDEX('Data'!$D$6:$F$205,25,$P$5))</f>
        <v/>
      </c>
      <c r="Q34">
        <f>IF(OR(INDEX('Data'!$D$6:$F$205,25,$P$5)="",INDEX('Data'!$D$6:$F$205,25,$P$6)=""),NA(),INDEX('Data'!$D$6:$F$205,25,$P$6))</f>
        <v/>
      </c>
      <c r="R34">
        <f>IF(ISNA(Q34),"",Q34)</f>
        <v/>
      </c>
    </row>
    <row r="35">
      <c r="P35">
        <f>IF(OR(INDEX('Data'!$D$6:$F$205,26,$P$5)="",INDEX('Data'!$D$6:$F$205,26,$P$6)=""),"",INDEX('Data'!$D$6:$F$205,26,$P$5))</f>
        <v/>
      </c>
      <c r="Q35">
        <f>IF(OR(INDEX('Data'!$D$6:$F$205,26,$P$5)="",INDEX('Data'!$D$6:$F$205,26,$P$6)=""),NA(),INDEX('Data'!$D$6:$F$205,26,$P$6))</f>
        <v/>
      </c>
      <c r="R35">
        <f>IF(ISNA(Q35),"",Q35)</f>
        <v/>
      </c>
    </row>
    <row r="36">
      <c r="P36">
        <f>IF(OR(INDEX('Data'!$D$6:$F$205,27,$P$5)="",INDEX('Data'!$D$6:$F$205,27,$P$6)=""),"",INDEX('Data'!$D$6:$F$205,27,$P$5))</f>
        <v/>
      </c>
      <c r="Q36">
        <f>IF(OR(INDEX('Data'!$D$6:$F$205,27,$P$5)="",INDEX('Data'!$D$6:$F$205,27,$P$6)=""),NA(),INDEX('Data'!$D$6:$F$205,27,$P$6))</f>
        <v/>
      </c>
      <c r="R36">
        <f>IF(ISNA(Q36),"",Q36)</f>
        <v/>
      </c>
    </row>
    <row r="37">
      <c r="P37">
        <f>IF(OR(INDEX('Data'!$D$6:$F$205,28,$P$5)="",INDEX('Data'!$D$6:$F$205,28,$P$6)=""),"",INDEX('Data'!$D$6:$F$205,28,$P$5))</f>
        <v/>
      </c>
      <c r="Q37">
        <f>IF(OR(INDEX('Data'!$D$6:$F$205,28,$P$5)="",INDEX('Data'!$D$6:$F$205,28,$P$6)=""),NA(),INDEX('Data'!$D$6:$F$205,28,$P$6))</f>
        <v/>
      </c>
      <c r="R37">
        <f>IF(ISNA(Q37),"",Q37)</f>
        <v/>
      </c>
    </row>
    <row r="38">
      <c r="P38">
        <f>IF(OR(INDEX('Data'!$D$6:$F$205,29,$P$5)="",INDEX('Data'!$D$6:$F$205,29,$P$6)=""),"",INDEX('Data'!$D$6:$F$205,29,$P$5))</f>
        <v/>
      </c>
      <c r="Q38">
        <f>IF(OR(INDEX('Data'!$D$6:$F$205,29,$P$5)="",INDEX('Data'!$D$6:$F$205,29,$P$6)=""),NA(),INDEX('Data'!$D$6:$F$205,29,$P$6))</f>
        <v/>
      </c>
      <c r="R38">
        <f>IF(ISNA(Q38),"",Q38)</f>
        <v/>
      </c>
    </row>
    <row r="39">
      <c r="P39">
        <f>IF(OR(INDEX('Data'!$D$6:$F$205,30,$P$5)="",INDEX('Data'!$D$6:$F$205,30,$P$6)=""),"",INDEX('Data'!$D$6:$F$205,30,$P$5))</f>
        <v/>
      </c>
      <c r="Q39">
        <f>IF(OR(INDEX('Data'!$D$6:$F$205,30,$P$5)="",INDEX('Data'!$D$6:$F$205,30,$P$6)=""),NA(),INDEX('Data'!$D$6:$F$205,30,$P$6))</f>
        <v/>
      </c>
      <c r="R39">
        <f>IF(ISNA(Q39),"",Q39)</f>
        <v/>
      </c>
    </row>
    <row r="40">
      <c r="P40">
        <f>IF(OR(INDEX('Data'!$D$6:$F$205,31,$P$5)="",INDEX('Data'!$D$6:$F$205,31,$P$6)=""),"",INDEX('Data'!$D$6:$F$205,31,$P$5))</f>
        <v/>
      </c>
      <c r="Q40">
        <f>IF(OR(INDEX('Data'!$D$6:$F$205,31,$P$5)="",INDEX('Data'!$D$6:$F$205,31,$P$6)=""),NA(),INDEX('Data'!$D$6:$F$205,31,$P$6))</f>
        <v/>
      </c>
      <c r="R40">
        <f>IF(ISNA(Q40),"",Q40)</f>
        <v/>
      </c>
    </row>
    <row r="41">
      <c r="P41">
        <f>IF(OR(INDEX('Data'!$D$6:$F$205,32,$P$5)="",INDEX('Data'!$D$6:$F$205,32,$P$6)=""),"",INDEX('Data'!$D$6:$F$205,32,$P$5))</f>
        <v/>
      </c>
      <c r="Q41">
        <f>IF(OR(INDEX('Data'!$D$6:$F$205,32,$P$5)="",INDEX('Data'!$D$6:$F$205,32,$P$6)=""),NA(),INDEX('Data'!$D$6:$F$205,32,$P$6))</f>
        <v/>
      </c>
      <c r="R41">
        <f>IF(ISNA(Q41),"",Q41)</f>
        <v/>
      </c>
    </row>
    <row r="42">
      <c r="P42">
        <f>IF(OR(INDEX('Data'!$D$6:$F$205,33,$P$5)="",INDEX('Data'!$D$6:$F$205,33,$P$6)=""),"",INDEX('Data'!$D$6:$F$205,33,$P$5))</f>
        <v/>
      </c>
      <c r="Q42">
        <f>IF(OR(INDEX('Data'!$D$6:$F$205,33,$P$5)="",INDEX('Data'!$D$6:$F$205,33,$P$6)=""),NA(),INDEX('Data'!$D$6:$F$205,33,$P$6))</f>
        <v/>
      </c>
      <c r="R42">
        <f>IF(ISNA(Q42),"",Q42)</f>
        <v/>
      </c>
    </row>
    <row r="43">
      <c r="P43">
        <f>IF(OR(INDEX('Data'!$D$6:$F$205,34,$P$5)="",INDEX('Data'!$D$6:$F$205,34,$P$6)=""),"",INDEX('Data'!$D$6:$F$205,34,$P$5))</f>
        <v/>
      </c>
      <c r="Q43">
        <f>IF(OR(INDEX('Data'!$D$6:$F$205,34,$P$5)="",INDEX('Data'!$D$6:$F$205,34,$P$6)=""),NA(),INDEX('Data'!$D$6:$F$205,34,$P$6))</f>
        <v/>
      </c>
      <c r="R43">
        <f>IF(ISNA(Q43),"",Q43)</f>
        <v/>
      </c>
    </row>
    <row r="44">
      <c r="P44">
        <f>IF(OR(INDEX('Data'!$D$6:$F$205,35,$P$5)="",INDEX('Data'!$D$6:$F$205,35,$P$6)=""),"",INDEX('Data'!$D$6:$F$205,35,$P$5))</f>
        <v/>
      </c>
      <c r="Q44">
        <f>IF(OR(INDEX('Data'!$D$6:$F$205,35,$P$5)="",INDEX('Data'!$D$6:$F$205,35,$P$6)=""),NA(),INDEX('Data'!$D$6:$F$205,35,$P$6))</f>
        <v/>
      </c>
      <c r="R44">
        <f>IF(ISNA(Q44),"",Q44)</f>
        <v/>
      </c>
    </row>
    <row r="45">
      <c r="P45">
        <f>IF(OR(INDEX('Data'!$D$6:$F$205,36,$P$5)="",INDEX('Data'!$D$6:$F$205,36,$P$6)=""),"",INDEX('Data'!$D$6:$F$205,36,$P$5))</f>
        <v/>
      </c>
      <c r="Q45">
        <f>IF(OR(INDEX('Data'!$D$6:$F$205,36,$P$5)="",INDEX('Data'!$D$6:$F$205,36,$P$6)=""),NA(),INDEX('Data'!$D$6:$F$205,36,$P$6))</f>
        <v/>
      </c>
      <c r="R45">
        <f>IF(ISNA(Q45),"",Q45)</f>
        <v/>
      </c>
    </row>
    <row r="46">
      <c r="P46">
        <f>IF(OR(INDEX('Data'!$D$6:$F$205,37,$P$5)="",INDEX('Data'!$D$6:$F$205,37,$P$6)=""),"",INDEX('Data'!$D$6:$F$205,37,$P$5))</f>
        <v/>
      </c>
      <c r="Q46">
        <f>IF(OR(INDEX('Data'!$D$6:$F$205,37,$P$5)="",INDEX('Data'!$D$6:$F$205,37,$P$6)=""),NA(),INDEX('Data'!$D$6:$F$205,37,$P$6))</f>
        <v/>
      </c>
      <c r="R46">
        <f>IF(ISNA(Q46),"",Q46)</f>
        <v/>
      </c>
    </row>
    <row r="47">
      <c r="P47">
        <f>IF(OR(INDEX('Data'!$D$6:$F$205,38,$P$5)="",INDEX('Data'!$D$6:$F$205,38,$P$6)=""),"",INDEX('Data'!$D$6:$F$205,38,$P$5))</f>
        <v/>
      </c>
      <c r="Q47">
        <f>IF(OR(INDEX('Data'!$D$6:$F$205,38,$P$5)="",INDEX('Data'!$D$6:$F$205,38,$P$6)=""),NA(),INDEX('Data'!$D$6:$F$205,38,$P$6))</f>
        <v/>
      </c>
      <c r="R47">
        <f>IF(ISNA(Q47),"",Q47)</f>
        <v/>
      </c>
    </row>
    <row r="48">
      <c r="P48">
        <f>IF(OR(INDEX('Data'!$D$6:$F$205,39,$P$5)="",INDEX('Data'!$D$6:$F$205,39,$P$6)=""),"",INDEX('Data'!$D$6:$F$205,39,$P$5))</f>
        <v/>
      </c>
      <c r="Q48">
        <f>IF(OR(INDEX('Data'!$D$6:$F$205,39,$P$5)="",INDEX('Data'!$D$6:$F$205,39,$P$6)=""),NA(),INDEX('Data'!$D$6:$F$205,39,$P$6))</f>
        <v/>
      </c>
      <c r="R48">
        <f>IF(ISNA(Q48),"",Q48)</f>
        <v/>
      </c>
    </row>
    <row r="49">
      <c r="P49">
        <f>IF(OR(INDEX('Data'!$D$6:$F$205,40,$P$5)="",INDEX('Data'!$D$6:$F$205,40,$P$6)=""),"",INDEX('Data'!$D$6:$F$205,40,$P$5))</f>
        <v/>
      </c>
      <c r="Q49">
        <f>IF(OR(INDEX('Data'!$D$6:$F$205,40,$P$5)="",INDEX('Data'!$D$6:$F$205,40,$P$6)=""),NA(),INDEX('Data'!$D$6:$F$205,40,$P$6))</f>
        <v/>
      </c>
      <c r="R49">
        <f>IF(ISNA(Q49),"",Q49)</f>
        <v/>
      </c>
    </row>
    <row r="50">
      <c r="P50">
        <f>IF(OR(INDEX('Data'!$D$6:$F$205,41,$P$5)="",INDEX('Data'!$D$6:$F$205,41,$P$6)=""),"",INDEX('Data'!$D$6:$F$205,41,$P$5))</f>
        <v/>
      </c>
      <c r="Q50">
        <f>IF(OR(INDEX('Data'!$D$6:$F$205,41,$P$5)="",INDEX('Data'!$D$6:$F$205,41,$P$6)=""),NA(),INDEX('Data'!$D$6:$F$205,41,$P$6))</f>
        <v/>
      </c>
      <c r="R50">
        <f>IF(ISNA(Q50),"",Q50)</f>
        <v/>
      </c>
    </row>
    <row r="51">
      <c r="P51">
        <f>IF(OR(INDEX('Data'!$D$6:$F$205,42,$P$5)="",INDEX('Data'!$D$6:$F$205,42,$P$6)=""),"",INDEX('Data'!$D$6:$F$205,42,$P$5))</f>
        <v/>
      </c>
      <c r="Q51">
        <f>IF(OR(INDEX('Data'!$D$6:$F$205,42,$P$5)="",INDEX('Data'!$D$6:$F$205,42,$P$6)=""),NA(),INDEX('Data'!$D$6:$F$205,42,$P$6))</f>
        <v/>
      </c>
      <c r="R51">
        <f>IF(ISNA(Q51),"",Q51)</f>
        <v/>
      </c>
    </row>
    <row r="52">
      <c r="P52">
        <f>IF(OR(INDEX('Data'!$D$6:$F$205,43,$P$5)="",INDEX('Data'!$D$6:$F$205,43,$P$6)=""),"",INDEX('Data'!$D$6:$F$205,43,$P$5))</f>
        <v/>
      </c>
      <c r="Q52">
        <f>IF(OR(INDEX('Data'!$D$6:$F$205,43,$P$5)="",INDEX('Data'!$D$6:$F$205,43,$P$6)=""),NA(),INDEX('Data'!$D$6:$F$205,43,$P$6))</f>
        <v/>
      </c>
      <c r="R52">
        <f>IF(ISNA(Q52),"",Q52)</f>
        <v/>
      </c>
    </row>
    <row r="53">
      <c r="P53">
        <f>IF(OR(INDEX('Data'!$D$6:$F$205,44,$P$5)="",INDEX('Data'!$D$6:$F$205,44,$P$6)=""),"",INDEX('Data'!$D$6:$F$205,44,$P$5))</f>
        <v/>
      </c>
      <c r="Q53">
        <f>IF(OR(INDEX('Data'!$D$6:$F$205,44,$P$5)="",INDEX('Data'!$D$6:$F$205,44,$P$6)=""),NA(),INDEX('Data'!$D$6:$F$205,44,$P$6))</f>
        <v/>
      </c>
      <c r="R53">
        <f>IF(ISNA(Q53),"",Q53)</f>
        <v/>
      </c>
    </row>
    <row r="54">
      <c r="P54">
        <f>IF(OR(INDEX('Data'!$D$6:$F$205,45,$P$5)="",INDEX('Data'!$D$6:$F$205,45,$P$6)=""),"",INDEX('Data'!$D$6:$F$205,45,$P$5))</f>
        <v/>
      </c>
      <c r="Q54">
        <f>IF(OR(INDEX('Data'!$D$6:$F$205,45,$P$5)="",INDEX('Data'!$D$6:$F$205,45,$P$6)=""),NA(),INDEX('Data'!$D$6:$F$205,45,$P$6))</f>
        <v/>
      </c>
      <c r="R54">
        <f>IF(ISNA(Q54),"",Q54)</f>
        <v/>
      </c>
    </row>
    <row r="55">
      <c r="P55">
        <f>IF(OR(INDEX('Data'!$D$6:$F$205,46,$P$5)="",INDEX('Data'!$D$6:$F$205,46,$P$6)=""),"",INDEX('Data'!$D$6:$F$205,46,$P$5))</f>
        <v/>
      </c>
      <c r="Q55">
        <f>IF(OR(INDEX('Data'!$D$6:$F$205,46,$P$5)="",INDEX('Data'!$D$6:$F$205,46,$P$6)=""),NA(),INDEX('Data'!$D$6:$F$205,46,$P$6))</f>
        <v/>
      </c>
      <c r="R55">
        <f>IF(ISNA(Q55),"",Q55)</f>
        <v/>
      </c>
    </row>
    <row r="56">
      <c r="P56">
        <f>IF(OR(INDEX('Data'!$D$6:$F$205,47,$P$5)="",INDEX('Data'!$D$6:$F$205,47,$P$6)=""),"",INDEX('Data'!$D$6:$F$205,47,$P$5))</f>
        <v/>
      </c>
      <c r="Q56">
        <f>IF(OR(INDEX('Data'!$D$6:$F$205,47,$P$5)="",INDEX('Data'!$D$6:$F$205,47,$P$6)=""),NA(),INDEX('Data'!$D$6:$F$205,47,$P$6))</f>
        <v/>
      </c>
      <c r="R56">
        <f>IF(ISNA(Q56),"",Q56)</f>
        <v/>
      </c>
    </row>
    <row r="57">
      <c r="P57">
        <f>IF(OR(INDEX('Data'!$D$6:$F$205,48,$P$5)="",INDEX('Data'!$D$6:$F$205,48,$P$6)=""),"",INDEX('Data'!$D$6:$F$205,48,$P$5))</f>
        <v/>
      </c>
      <c r="Q57">
        <f>IF(OR(INDEX('Data'!$D$6:$F$205,48,$P$5)="",INDEX('Data'!$D$6:$F$205,48,$P$6)=""),NA(),INDEX('Data'!$D$6:$F$205,48,$P$6))</f>
        <v/>
      </c>
      <c r="R57">
        <f>IF(ISNA(Q57),"",Q57)</f>
        <v/>
      </c>
    </row>
    <row r="58">
      <c r="P58">
        <f>IF(OR(INDEX('Data'!$D$6:$F$205,49,$P$5)="",INDEX('Data'!$D$6:$F$205,49,$P$6)=""),"",INDEX('Data'!$D$6:$F$205,49,$P$5))</f>
        <v/>
      </c>
      <c r="Q58">
        <f>IF(OR(INDEX('Data'!$D$6:$F$205,49,$P$5)="",INDEX('Data'!$D$6:$F$205,49,$P$6)=""),NA(),INDEX('Data'!$D$6:$F$205,49,$P$6))</f>
        <v/>
      </c>
      <c r="R58">
        <f>IF(ISNA(Q58),"",Q58)</f>
        <v/>
      </c>
    </row>
    <row r="59">
      <c r="P59">
        <f>IF(OR(INDEX('Data'!$D$6:$F$205,50,$P$5)="",INDEX('Data'!$D$6:$F$205,50,$P$6)=""),"",INDEX('Data'!$D$6:$F$205,50,$P$5))</f>
        <v/>
      </c>
      <c r="Q59">
        <f>IF(OR(INDEX('Data'!$D$6:$F$205,50,$P$5)="",INDEX('Data'!$D$6:$F$205,50,$P$6)=""),NA(),INDEX('Data'!$D$6:$F$205,50,$P$6))</f>
        <v/>
      </c>
      <c r="R59">
        <f>IF(ISNA(Q59),"",Q59)</f>
        <v/>
      </c>
    </row>
    <row r="60">
      <c r="P60">
        <f>IF(OR(INDEX('Data'!$D$6:$F$205,51,$P$5)="",INDEX('Data'!$D$6:$F$205,51,$P$6)=""),"",INDEX('Data'!$D$6:$F$205,51,$P$5))</f>
        <v/>
      </c>
      <c r="Q60">
        <f>IF(OR(INDEX('Data'!$D$6:$F$205,51,$P$5)="",INDEX('Data'!$D$6:$F$205,51,$P$6)=""),NA(),INDEX('Data'!$D$6:$F$205,51,$P$6))</f>
        <v/>
      </c>
      <c r="R60">
        <f>IF(ISNA(Q60),"",Q60)</f>
        <v/>
      </c>
    </row>
    <row r="61">
      <c r="P61">
        <f>IF(OR(INDEX('Data'!$D$6:$F$205,52,$P$5)="",INDEX('Data'!$D$6:$F$205,52,$P$6)=""),"",INDEX('Data'!$D$6:$F$205,52,$P$5))</f>
        <v/>
      </c>
      <c r="Q61">
        <f>IF(OR(INDEX('Data'!$D$6:$F$205,52,$P$5)="",INDEX('Data'!$D$6:$F$205,52,$P$6)=""),NA(),INDEX('Data'!$D$6:$F$205,52,$P$6))</f>
        <v/>
      </c>
      <c r="R61">
        <f>IF(ISNA(Q61),"",Q61)</f>
        <v/>
      </c>
    </row>
    <row r="62">
      <c r="P62">
        <f>IF(OR(INDEX('Data'!$D$6:$F$205,53,$P$5)="",INDEX('Data'!$D$6:$F$205,53,$P$6)=""),"",INDEX('Data'!$D$6:$F$205,53,$P$5))</f>
        <v/>
      </c>
      <c r="Q62">
        <f>IF(OR(INDEX('Data'!$D$6:$F$205,53,$P$5)="",INDEX('Data'!$D$6:$F$205,53,$P$6)=""),NA(),INDEX('Data'!$D$6:$F$205,53,$P$6))</f>
        <v/>
      </c>
      <c r="R62">
        <f>IF(ISNA(Q62),"",Q62)</f>
        <v/>
      </c>
    </row>
    <row r="63">
      <c r="P63">
        <f>IF(OR(INDEX('Data'!$D$6:$F$205,54,$P$5)="",INDEX('Data'!$D$6:$F$205,54,$P$6)=""),"",INDEX('Data'!$D$6:$F$205,54,$P$5))</f>
        <v/>
      </c>
      <c r="Q63">
        <f>IF(OR(INDEX('Data'!$D$6:$F$205,54,$P$5)="",INDEX('Data'!$D$6:$F$205,54,$P$6)=""),NA(),INDEX('Data'!$D$6:$F$205,54,$P$6))</f>
        <v/>
      </c>
      <c r="R63">
        <f>IF(ISNA(Q63),"",Q63)</f>
        <v/>
      </c>
    </row>
    <row r="64">
      <c r="P64">
        <f>IF(OR(INDEX('Data'!$D$6:$F$205,55,$P$5)="",INDEX('Data'!$D$6:$F$205,55,$P$6)=""),"",INDEX('Data'!$D$6:$F$205,55,$P$5))</f>
        <v/>
      </c>
      <c r="Q64">
        <f>IF(OR(INDEX('Data'!$D$6:$F$205,55,$P$5)="",INDEX('Data'!$D$6:$F$205,55,$P$6)=""),NA(),INDEX('Data'!$D$6:$F$205,55,$P$6))</f>
        <v/>
      </c>
      <c r="R64">
        <f>IF(ISNA(Q64),"",Q64)</f>
        <v/>
      </c>
    </row>
    <row r="65">
      <c r="P65">
        <f>IF(OR(INDEX('Data'!$D$6:$F$205,56,$P$5)="",INDEX('Data'!$D$6:$F$205,56,$P$6)=""),"",INDEX('Data'!$D$6:$F$205,56,$P$5))</f>
        <v/>
      </c>
      <c r="Q65">
        <f>IF(OR(INDEX('Data'!$D$6:$F$205,56,$P$5)="",INDEX('Data'!$D$6:$F$205,56,$P$6)=""),NA(),INDEX('Data'!$D$6:$F$205,56,$P$6))</f>
        <v/>
      </c>
      <c r="R65">
        <f>IF(ISNA(Q65),"",Q65)</f>
        <v/>
      </c>
    </row>
    <row r="66">
      <c r="P66">
        <f>IF(OR(INDEX('Data'!$D$6:$F$205,57,$P$5)="",INDEX('Data'!$D$6:$F$205,57,$P$6)=""),"",INDEX('Data'!$D$6:$F$205,57,$P$5))</f>
        <v/>
      </c>
      <c r="Q66">
        <f>IF(OR(INDEX('Data'!$D$6:$F$205,57,$P$5)="",INDEX('Data'!$D$6:$F$205,57,$P$6)=""),NA(),INDEX('Data'!$D$6:$F$205,57,$P$6))</f>
        <v/>
      </c>
      <c r="R66">
        <f>IF(ISNA(Q66),"",Q66)</f>
        <v/>
      </c>
    </row>
    <row r="67">
      <c r="P67">
        <f>IF(OR(INDEX('Data'!$D$6:$F$205,58,$P$5)="",INDEX('Data'!$D$6:$F$205,58,$P$6)=""),"",INDEX('Data'!$D$6:$F$205,58,$P$5))</f>
        <v/>
      </c>
      <c r="Q67">
        <f>IF(OR(INDEX('Data'!$D$6:$F$205,58,$P$5)="",INDEX('Data'!$D$6:$F$205,58,$P$6)=""),NA(),INDEX('Data'!$D$6:$F$205,58,$P$6))</f>
        <v/>
      </c>
      <c r="R67">
        <f>IF(ISNA(Q67),"",Q67)</f>
        <v/>
      </c>
    </row>
    <row r="68">
      <c r="P68">
        <f>IF(OR(INDEX('Data'!$D$6:$F$205,59,$P$5)="",INDEX('Data'!$D$6:$F$205,59,$P$6)=""),"",INDEX('Data'!$D$6:$F$205,59,$P$5))</f>
        <v/>
      </c>
      <c r="Q68">
        <f>IF(OR(INDEX('Data'!$D$6:$F$205,59,$P$5)="",INDEX('Data'!$D$6:$F$205,59,$P$6)=""),NA(),INDEX('Data'!$D$6:$F$205,59,$P$6))</f>
        <v/>
      </c>
      <c r="R68">
        <f>IF(ISNA(Q68),"",Q68)</f>
        <v/>
      </c>
    </row>
    <row r="69">
      <c r="P69">
        <f>IF(OR(INDEX('Data'!$D$6:$F$205,60,$P$5)="",INDEX('Data'!$D$6:$F$205,60,$P$6)=""),"",INDEX('Data'!$D$6:$F$205,60,$P$5))</f>
        <v/>
      </c>
      <c r="Q69">
        <f>IF(OR(INDEX('Data'!$D$6:$F$205,60,$P$5)="",INDEX('Data'!$D$6:$F$205,60,$P$6)=""),NA(),INDEX('Data'!$D$6:$F$205,60,$P$6))</f>
        <v/>
      </c>
      <c r="R69">
        <f>IF(ISNA(Q69),"",Q69)</f>
        <v/>
      </c>
    </row>
    <row r="70">
      <c r="P70">
        <f>IF(OR(INDEX('Data'!$D$6:$F$205,61,$P$5)="",INDEX('Data'!$D$6:$F$205,61,$P$6)=""),"",INDEX('Data'!$D$6:$F$205,61,$P$5))</f>
        <v/>
      </c>
      <c r="Q70">
        <f>IF(OR(INDEX('Data'!$D$6:$F$205,61,$P$5)="",INDEX('Data'!$D$6:$F$205,61,$P$6)=""),NA(),INDEX('Data'!$D$6:$F$205,61,$P$6))</f>
        <v/>
      </c>
      <c r="R70">
        <f>IF(ISNA(Q70),"",Q70)</f>
        <v/>
      </c>
    </row>
    <row r="71">
      <c r="P71">
        <f>IF(OR(INDEX('Data'!$D$6:$F$205,62,$P$5)="",INDEX('Data'!$D$6:$F$205,62,$P$6)=""),"",INDEX('Data'!$D$6:$F$205,62,$P$5))</f>
        <v/>
      </c>
      <c r="Q71">
        <f>IF(OR(INDEX('Data'!$D$6:$F$205,62,$P$5)="",INDEX('Data'!$D$6:$F$205,62,$P$6)=""),NA(),INDEX('Data'!$D$6:$F$205,62,$P$6))</f>
        <v/>
      </c>
      <c r="R71">
        <f>IF(ISNA(Q71),"",Q71)</f>
        <v/>
      </c>
    </row>
    <row r="72">
      <c r="P72">
        <f>IF(OR(INDEX('Data'!$D$6:$F$205,63,$P$5)="",INDEX('Data'!$D$6:$F$205,63,$P$6)=""),"",INDEX('Data'!$D$6:$F$205,63,$P$5))</f>
        <v/>
      </c>
      <c r="Q72">
        <f>IF(OR(INDEX('Data'!$D$6:$F$205,63,$P$5)="",INDEX('Data'!$D$6:$F$205,63,$P$6)=""),NA(),INDEX('Data'!$D$6:$F$205,63,$P$6))</f>
        <v/>
      </c>
      <c r="R72">
        <f>IF(ISNA(Q72),"",Q72)</f>
        <v/>
      </c>
    </row>
    <row r="73">
      <c r="P73">
        <f>IF(OR(INDEX('Data'!$D$6:$F$205,64,$P$5)="",INDEX('Data'!$D$6:$F$205,64,$P$6)=""),"",INDEX('Data'!$D$6:$F$205,64,$P$5))</f>
        <v/>
      </c>
      <c r="Q73">
        <f>IF(OR(INDEX('Data'!$D$6:$F$205,64,$P$5)="",INDEX('Data'!$D$6:$F$205,64,$P$6)=""),NA(),INDEX('Data'!$D$6:$F$205,64,$P$6))</f>
        <v/>
      </c>
      <c r="R73">
        <f>IF(ISNA(Q73),"",Q73)</f>
        <v/>
      </c>
    </row>
    <row r="74">
      <c r="P74">
        <f>IF(OR(INDEX('Data'!$D$6:$F$205,65,$P$5)="",INDEX('Data'!$D$6:$F$205,65,$P$6)=""),"",INDEX('Data'!$D$6:$F$205,65,$P$5))</f>
        <v/>
      </c>
      <c r="Q74">
        <f>IF(OR(INDEX('Data'!$D$6:$F$205,65,$P$5)="",INDEX('Data'!$D$6:$F$205,65,$P$6)=""),NA(),INDEX('Data'!$D$6:$F$205,65,$P$6))</f>
        <v/>
      </c>
      <c r="R74">
        <f>IF(ISNA(Q74),"",Q74)</f>
        <v/>
      </c>
    </row>
    <row r="75">
      <c r="P75">
        <f>IF(OR(INDEX('Data'!$D$6:$F$205,66,$P$5)="",INDEX('Data'!$D$6:$F$205,66,$P$6)=""),"",INDEX('Data'!$D$6:$F$205,66,$P$5))</f>
        <v/>
      </c>
      <c r="Q75">
        <f>IF(OR(INDEX('Data'!$D$6:$F$205,66,$P$5)="",INDEX('Data'!$D$6:$F$205,66,$P$6)=""),NA(),INDEX('Data'!$D$6:$F$205,66,$P$6))</f>
        <v/>
      </c>
      <c r="R75">
        <f>IF(ISNA(Q75),"",Q75)</f>
        <v/>
      </c>
    </row>
    <row r="76">
      <c r="P76">
        <f>IF(OR(INDEX('Data'!$D$6:$F$205,67,$P$5)="",INDEX('Data'!$D$6:$F$205,67,$P$6)=""),"",INDEX('Data'!$D$6:$F$205,67,$P$5))</f>
        <v/>
      </c>
      <c r="Q76">
        <f>IF(OR(INDEX('Data'!$D$6:$F$205,67,$P$5)="",INDEX('Data'!$D$6:$F$205,67,$P$6)=""),NA(),INDEX('Data'!$D$6:$F$205,67,$P$6))</f>
        <v/>
      </c>
      <c r="R76">
        <f>IF(ISNA(Q76),"",Q76)</f>
        <v/>
      </c>
    </row>
    <row r="77">
      <c r="P77">
        <f>IF(OR(INDEX('Data'!$D$6:$F$205,68,$P$5)="",INDEX('Data'!$D$6:$F$205,68,$P$6)=""),"",INDEX('Data'!$D$6:$F$205,68,$P$5))</f>
        <v/>
      </c>
      <c r="Q77">
        <f>IF(OR(INDEX('Data'!$D$6:$F$205,68,$P$5)="",INDEX('Data'!$D$6:$F$205,68,$P$6)=""),NA(),INDEX('Data'!$D$6:$F$205,68,$P$6))</f>
        <v/>
      </c>
      <c r="R77">
        <f>IF(ISNA(Q77),"",Q77)</f>
        <v/>
      </c>
    </row>
    <row r="78">
      <c r="P78">
        <f>IF(OR(INDEX('Data'!$D$6:$F$205,69,$P$5)="",INDEX('Data'!$D$6:$F$205,69,$P$6)=""),"",INDEX('Data'!$D$6:$F$205,69,$P$5))</f>
        <v/>
      </c>
      <c r="Q78">
        <f>IF(OR(INDEX('Data'!$D$6:$F$205,69,$P$5)="",INDEX('Data'!$D$6:$F$205,69,$P$6)=""),NA(),INDEX('Data'!$D$6:$F$205,69,$P$6))</f>
        <v/>
      </c>
      <c r="R78">
        <f>IF(ISNA(Q78),"",Q78)</f>
        <v/>
      </c>
    </row>
    <row r="79">
      <c r="P79">
        <f>IF(OR(INDEX('Data'!$D$6:$F$205,70,$P$5)="",INDEX('Data'!$D$6:$F$205,70,$P$6)=""),"",INDEX('Data'!$D$6:$F$205,70,$P$5))</f>
        <v/>
      </c>
      <c r="Q79">
        <f>IF(OR(INDEX('Data'!$D$6:$F$205,70,$P$5)="",INDEX('Data'!$D$6:$F$205,70,$P$6)=""),NA(),INDEX('Data'!$D$6:$F$205,70,$P$6))</f>
        <v/>
      </c>
      <c r="R79">
        <f>IF(ISNA(Q79),"",Q79)</f>
        <v/>
      </c>
    </row>
    <row r="80">
      <c r="P80">
        <f>IF(OR(INDEX('Data'!$D$6:$F$205,71,$P$5)="",INDEX('Data'!$D$6:$F$205,71,$P$6)=""),"",INDEX('Data'!$D$6:$F$205,71,$P$5))</f>
        <v/>
      </c>
      <c r="Q80">
        <f>IF(OR(INDEX('Data'!$D$6:$F$205,71,$P$5)="",INDEX('Data'!$D$6:$F$205,71,$P$6)=""),NA(),INDEX('Data'!$D$6:$F$205,71,$P$6))</f>
        <v/>
      </c>
      <c r="R80">
        <f>IF(ISNA(Q80),"",Q80)</f>
        <v/>
      </c>
    </row>
    <row r="81">
      <c r="P81">
        <f>IF(OR(INDEX('Data'!$D$6:$F$205,72,$P$5)="",INDEX('Data'!$D$6:$F$205,72,$P$6)=""),"",INDEX('Data'!$D$6:$F$205,72,$P$5))</f>
        <v/>
      </c>
      <c r="Q81">
        <f>IF(OR(INDEX('Data'!$D$6:$F$205,72,$P$5)="",INDEX('Data'!$D$6:$F$205,72,$P$6)=""),NA(),INDEX('Data'!$D$6:$F$205,72,$P$6))</f>
        <v/>
      </c>
      <c r="R81">
        <f>IF(ISNA(Q81),"",Q81)</f>
        <v/>
      </c>
    </row>
    <row r="82">
      <c r="P82">
        <f>IF(OR(INDEX('Data'!$D$6:$F$205,73,$P$5)="",INDEX('Data'!$D$6:$F$205,73,$P$6)=""),"",INDEX('Data'!$D$6:$F$205,73,$P$5))</f>
        <v/>
      </c>
      <c r="Q82">
        <f>IF(OR(INDEX('Data'!$D$6:$F$205,73,$P$5)="",INDEX('Data'!$D$6:$F$205,73,$P$6)=""),NA(),INDEX('Data'!$D$6:$F$205,73,$P$6))</f>
        <v/>
      </c>
      <c r="R82">
        <f>IF(ISNA(Q82),"",Q82)</f>
        <v/>
      </c>
    </row>
    <row r="83">
      <c r="P83">
        <f>IF(OR(INDEX('Data'!$D$6:$F$205,74,$P$5)="",INDEX('Data'!$D$6:$F$205,74,$P$6)=""),"",INDEX('Data'!$D$6:$F$205,74,$P$5))</f>
        <v/>
      </c>
      <c r="Q83">
        <f>IF(OR(INDEX('Data'!$D$6:$F$205,74,$P$5)="",INDEX('Data'!$D$6:$F$205,74,$P$6)=""),NA(),INDEX('Data'!$D$6:$F$205,74,$P$6))</f>
        <v/>
      </c>
      <c r="R83">
        <f>IF(ISNA(Q83),"",Q83)</f>
        <v/>
      </c>
    </row>
    <row r="84">
      <c r="P84">
        <f>IF(OR(INDEX('Data'!$D$6:$F$205,75,$P$5)="",INDEX('Data'!$D$6:$F$205,75,$P$6)=""),"",INDEX('Data'!$D$6:$F$205,75,$P$5))</f>
        <v/>
      </c>
      <c r="Q84">
        <f>IF(OR(INDEX('Data'!$D$6:$F$205,75,$P$5)="",INDEX('Data'!$D$6:$F$205,75,$P$6)=""),NA(),INDEX('Data'!$D$6:$F$205,75,$P$6))</f>
        <v/>
      </c>
      <c r="R84">
        <f>IF(ISNA(Q84),"",Q84)</f>
        <v/>
      </c>
    </row>
    <row r="85">
      <c r="P85">
        <f>IF(OR(INDEX('Data'!$D$6:$F$205,76,$P$5)="",INDEX('Data'!$D$6:$F$205,76,$P$6)=""),"",INDEX('Data'!$D$6:$F$205,76,$P$5))</f>
        <v/>
      </c>
      <c r="Q85">
        <f>IF(OR(INDEX('Data'!$D$6:$F$205,76,$P$5)="",INDEX('Data'!$D$6:$F$205,76,$P$6)=""),NA(),INDEX('Data'!$D$6:$F$205,76,$P$6))</f>
        <v/>
      </c>
      <c r="R85">
        <f>IF(ISNA(Q85),"",Q85)</f>
        <v/>
      </c>
    </row>
    <row r="86">
      <c r="P86">
        <f>IF(OR(INDEX('Data'!$D$6:$F$205,77,$P$5)="",INDEX('Data'!$D$6:$F$205,77,$P$6)=""),"",INDEX('Data'!$D$6:$F$205,77,$P$5))</f>
        <v/>
      </c>
      <c r="Q86">
        <f>IF(OR(INDEX('Data'!$D$6:$F$205,77,$P$5)="",INDEX('Data'!$D$6:$F$205,77,$P$6)=""),NA(),INDEX('Data'!$D$6:$F$205,77,$P$6))</f>
        <v/>
      </c>
      <c r="R86">
        <f>IF(ISNA(Q86),"",Q86)</f>
        <v/>
      </c>
    </row>
    <row r="87">
      <c r="P87">
        <f>IF(OR(INDEX('Data'!$D$6:$F$205,78,$P$5)="",INDEX('Data'!$D$6:$F$205,78,$P$6)=""),"",INDEX('Data'!$D$6:$F$205,78,$P$5))</f>
        <v/>
      </c>
      <c r="Q87">
        <f>IF(OR(INDEX('Data'!$D$6:$F$205,78,$P$5)="",INDEX('Data'!$D$6:$F$205,78,$P$6)=""),NA(),INDEX('Data'!$D$6:$F$205,78,$P$6))</f>
        <v/>
      </c>
      <c r="R87">
        <f>IF(ISNA(Q87),"",Q87)</f>
        <v/>
      </c>
    </row>
    <row r="88">
      <c r="P88">
        <f>IF(OR(INDEX('Data'!$D$6:$F$205,79,$P$5)="",INDEX('Data'!$D$6:$F$205,79,$P$6)=""),"",INDEX('Data'!$D$6:$F$205,79,$P$5))</f>
        <v/>
      </c>
      <c r="Q88">
        <f>IF(OR(INDEX('Data'!$D$6:$F$205,79,$P$5)="",INDEX('Data'!$D$6:$F$205,79,$P$6)=""),NA(),INDEX('Data'!$D$6:$F$205,79,$P$6))</f>
        <v/>
      </c>
      <c r="R88">
        <f>IF(ISNA(Q88),"",Q88)</f>
        <v/>
      </c>
    </row>
    <row r="89">
      <c r="P89">
        <f>IF(OR(INDEX('Data'!$D$6:$F$205,80,$P$5)="",INDEX('Data'!$D$6:$F$205,80,$P$6)=""),"",INDEX('Data'!$D$6:$F$205,80,$P$5))</f>
        <v/>
      </c>
      <c r="Q89">
        <f>IF(OR(INDEX('Data'!$D$6:$F$205,80,$P$5)="",INDEX('Data'!$D$6:$F$205,80,$P$6)=""),NA(),INDEX('Data'!$D$6:$F$205,80,$P$6))</f>
        <v/>
      </c>
      <c r="R89">
        <f>IF(ISNA(Q89),"",Q89)</f>
        <v/>
      </c>
    </row>
    <row r="90">
      <c r="P90">
        <f>IF(OR(INDEX('Data'!$D$6:$F$205,81,$P$5)="",INDEX('Data'!$D$6:$F$205,81,$P$6)=""),"",INDEX('Data'!$D$6:$F$205,81,$P$5))</f>
        <v/>
      </c>
      <c r="Q90">
        <f>IF(OR(INDEX('Data'!$D$6:$F$205,81,$P$5)="",INDEX('Data'!$D$6:$F$205,81,$P$6)=""),NA(),INDEX('Data'!$D$6:$F$205,81,$P$6))</f>
        <v/>
      </c>
      <c r="R90">
        <f>IF(ISNA(Q90),"",Q90)</f>
        <v/>
      </c>
    </row>
    <row r="91">
      <c r="P91">
        <f>IF(OR(INDEX('Data'!$D$6:$F$205,82,$P$5)="",INDEX('Data'!$D$6:$F$205,82,$P$6)=""),"",INDEX('Data'!$D$6:$F$205,82,$P$5))</f>
        <v/>
      </c>
      <c r="Q91">
        <f>IF(OR(INDEX('Data'!$D$6:$F$205,82,$P$5)="",INDEX('Data'!$D$6:$F$205,82,$P$6)=""),NA(),INDEX('Data'!$D$6:$F$205,82,$P$6))</f>
        <v/>
      </c>
      <c r="R91">
        <f>IF(ISNA(Q91),"",Q91)</f>
        <v/>
      </c>
    </row>
    <row r="92">
      <c r="P92">
        <f>IF(OR(INDEX('Data'!$D$6:$F$205,83,$P$5)="",INDEX('Data'!$D$6:$F$205,83,$P$6)=""),"",INDEX('Data'!$D$6:$F$205,83,$P$5))</f>
        <v/>
      </c>
      <c r="Q92">
        <f>IF(OR(INDEX('Data'!$D$6:$F$205,83,$P$5)="",INDEX('Data'!$D$6:$F$205,83,$P$6)=""),NA(),INDEX('Data'!$D$6:$F$205,83,$P$6))</f>
        <v/>
      </c>
      <c r="R92">
        <f>IF(ISNA(Q92),"",Q92)</f>
        <v/>
      </c>
    </row>
    <row r="93">
      <c r="P93">
        <f>IF(OR(INDEX('Data'!$D$6:$F$205,84,$P$5)="",INDEX('Data'!$D$6:$F$205,84,$P$6)=""),"",INDEX('Data'!$D$6:$F$205,84,$P$5))</f>
        <v/>
      </c>
      <c r="Q93">
        <f>IF(OR(INDEX('Data'!$D$6:$F$205,84,$P$5)="",INDEX('Data'!$D$6:$F$205,84,$P$6)=""),NA(),INDEX('Data'!$D$6:$F$205,84,$P$6))</f>
        <v/>
      </c>
      <c r="R93">
        <f>IF(ISNA(Q93),"",Q93)</f>
        <v/>
      </c>
    </row>
    <row r="94">
      <c r="P94">
        <f>IF(OR(INDEX('Data'!$D$6:$F$205,85,$P$5)="",INDEX('Data'!$D$6:$F$205,85,$P$6)=""),"",INDEX('Data'!$D$6:$F$205,85,$P$5))</f>
        <v/>
      </c>
      <c r="Q94">
        <f>IF(OR(INDEX('Data'!$D$6:$F$205,85,$P$5)="",INDEX('Data'!$D$6:$F$205,85,$P$6)=""),NA(),INDEX('Data'!$D$6:$F$205,85,$P$6))</f>
        <v/>
      </c>
      <c r="R94">
        <f>IF(ISNA(Q94),"",Q94)</f>
        <v/>
      </c>
    </row>
    <row r="95">
      <c r="P95">
        <f>IF(OR(INDEX('Data'!$D$6:$F$205,86,$P$5)="",INDEX('Data'!$D$6:$F$205,86,$P$6)=""),"",INDEX('Data'!$D$6:$F$205,86,$P$5))</f>
        <v/>
      </c>
      <c r="Q95">
        <f>IF(OR(INDEX('Data'!$D$6:$F$205,86,$P$5)="",INDEX('Data'!$D$6:$F$205,86,$P$6)=""),NA(),INDEX('Data'!$D$6:$F$205,86,$P$6))</f>
        <v/>
      </c>
      <c r="R95">
        <f>IF(ISNA(Q95),"",Q95)</f>
        <v/>
      </c>
    </row>
    <row r="96">
      <c r="P96">
        <f>IF(OR(INDEX('Data'!$D$6:$F$205,87,$P$5)="",INDEX('Data'!$D$6:$F$205,87,$P$6)=""),"",INDEX('Data'!$D$6:$F$205,87,$P$5))</f>
        <v/>
      </c>
      <c r="Q96">
        <f>IF(OR(INDEX('Data'!$D$6:$F$205,87,$P$5)="",INDEX('Data'!$D$6:$F$205,87,$P$6)=""),NA(),INDEX('Data'!$D$6:$F$205,87,$P$6))</f>
        <v/>
      </c>
      <c r="R96">
        <f>IF(ISNA(Q96),"",Q96)</f>
        <v/>
      </c>
    </row>
    <row r="97">
      <c r="P97">
        <f>IF(OR(INDEX('Data'!$D$6:$F$205,88,$P$5)="",INDEX('Data'!$D$6:$F$205,88,$P$6)=""),"",INDEX('Data'!$D$6:$F$205,88,$P$5))</f>
        <v/>
      </c>
      <c r="Q97">
        <f>IF(OR(INDEX('Data'!$D$6:$F$205,88,$P$5)="",INDEX('Data'!$D$6:$F$205,88,$P$6)=""),NA(),INDEX('Data'!$D$6:$F$205,88,$P$6))</f>
        <v/>
      </c>
      <c r="R97">
        <f>IF(ISNA(Q97),"",Q97)</f>
        <v/>
      </c>
    </row>
    <row r="98">
      <c r="P98">
        <f>IF(OR(INDEX('Data'!$D$6:$F$205,89,$P$5)="",INDEX('Data'!$D$6:$F$205,89,$P$6)=""),"",INDEX('Data'!$D$6:$F$205,89,$P$5))</f>
        <v/>
      </c>
      <c r="Q98">
        <f>IF(OR(INDEX('Data'!$D$6:$F$205,89,$P$5)="",INDEX('Data'!$D$6:$F$205,89,$P$6)=""),NA(),INDEX('Data'!$D$6:$F$205,89,$P$6))</f>
        <v/>
      </c>
      <c r="R98">
        <f>IF(ISNA(Q98),"",Q98)</f>
        <v/>
      </c>
    </row>
    <row r="99">
      <c r="P99">
        <f>IF(OR(INDEX('Data'!$D$6:$F$205,90,$P$5)="",INDEX('Data'!$D$6:$F$205,90,$P$6)=""),"",INDEX('Data'!$D$6:$F$205,90,$P$5))</f>
        <v/>
      </c>
      <c r="Q99">
        <f>IF(OR(INDEX('Data'!$D$6:$F$205,90,$P$5)="",INDEX('Data'!$D$6:$F$205,90,$P$6)=""),NA(),INDEX('Data'!$D$6:$F$205,90,$P$6))</f>
        <v/>
      </c>
      <c r="R99">
        <f>IF(ISNA(Q99),"",Q99)</f>
        <v/>
      </c>
    </row>
    <row r="100">
      <c r="P100">
        <f>IF(OR(INDEX('Data'!$D$6:$F$205,91,$P$5)="",INDEX('Data'!$D$6:$F$205,91,$P$6)=""),"",INDEX('Data'!$D$6:$F$205,91,$P$5))</f>
        <v/>
      </c>
      <c r="Q100">
        <f>IF(OR(INDEX('Data'!$D$6:$F$205,91,$P$5)="",INDEX('Data'!$D$6:$F$205,91,$P$6)=""),NA(),INDEX('Data'!$D$6:$F$205,91,$P$6))</f>
        <v/>
      </c>
      <c r="R100">
        <f>IF(ISNA(Q100),"",Q100)</f>
        <v/>
      </c>
    </row>
    <row r="101">
      <c r="P101">
        <f>IF(OR(INDEX('Data'!$D$6:$F$205,92,$P$5)="",INDEX('Data'!$D$6:$F$205,92,$P$6)=""),"",INDEX('Data'!$D$6:$F$205,92,$P$5))</f>
        <v/>
      </c>
      <c r="Q101">
        <f>IF(OR(INDEX('Data'!$D$6:$F$205,92,$P$5)="",INDEX('Data'!$D$6:$F$205,92,$P$6)=""),NA(),INDEX('Data'!$D$6:$F$205,92,$P$6))</f>
        <v/>
      </c>
      <c r="R101">
        <f>IF(ISNA(Q101),"",Q101)</f>
        <v/>
      </c>
    </row>
    <row r="102">
      <c r="P102">
        <f>IF(OR(INDEX('Data'!$D$6:$F$205,93,$P$5)="",INDEX('Data'!$D$6:$F$205,93,$P$6)=""),"",INDEX('Data'!$D$6:$F$205,93,$P$5))</f>
        <v/>
      </c>
      <c r="Q102">
        <f>IF(OR(INDEX('Data'!$D$6:$F$205,93,$P$5)="",INDEX('Data'!$D$6:$F$205,93,$P$6)=""),NA(),INDEX('Data'!$D$6:$F$205,93,$P$6))</f>
        <v/>
      </c>
      <c r="R102">
        <f>IF(ISNA(Q102),"",Q102)</f>
        <v/>
      </c>
    </row>
    <row r="103">
      <c r="P103">
        <f>IF(OR(INDEX('Data'!$D$6:$F$205,94,$P$5)="",INDEX('Data'!$D$6:$F$205,94,$P$6)=""),"",INDEX('Data'!$D$6:$F$205,94,$P$5))</f>
        <v/>
      </c>
      <c r="Q103">
        <f>IF(OR(INDEX('Data'!$D$6:$F$205,94,$P$5)="",INDEX('Data'!$D$6:$F$205,94,$P$6)=""),NA(),INDEX('Data'!$D$6:$F$205,94,$P$6))</f>
        <v/>
      </c>
      <c r="R103">
        <f>IF(ISNA(Q103),"",Q103)</f>
        <v/>
      </c>
    </row>
    <row r="104">
      <c r="P104">
        <f>IF(OR(INDEX('Data'!$D$6:$F$205,95,$P$5)="",INDEX('Data'!$D$6:$F$205,95,$P$6)=""),"",INDEX('Data'!$D$6:$F$205,95,$P$5))</f>
        <v/>
      </c>
      <c r="Q104">
        <f>IF(OR(INDEX('Data'!$D$6:$F$205,95,$P$5)="",INDEX('Data'!$D$6:$F$205,95,$P$6)=""),NA(),INDEX('Data'!$D$6:$F$205,95,$P$6))</f>
        <v/>
      </c>
      <c r="R104">
        <f>IF(ISNA(Q104),"",Q104)</f>
        <v/>
      </c>
    </row>
    <row r="105">
      <c r="P105">
        <f>IF(OR(INDEX('Data'!$D$6:$F$205,96,$P$5)="",INDEX('Data'!$D$6:$F$205,96,$P$6)=""),"",INDEX('Data'!$D$6:$F$205,96,$P$5))</f>
        <v/>
      </c>
      <c r="Q105">
        <f>IF(OR(INDEX('Data'!$D$6:$F$205,96,$P$5)="",INDEX('Data'!$D$6:$F$205,96,$P$6)=""),NA(),INDEX('Data'!$D$6:$F$205,96,$P$6))</f>
        <v/>
      </c>
      <c r="R105">
        <f>IF(ISNA(Q105),"",Q105)</f>
        <v/>
      </c>
    </row>
    <row r="106">
      <c r="P106">
        <f>IF(OR(INDEX('Data'!$D$6:$F$205,97,$P$5)="",INDEX('Data'!$D$6:$F$205,97,$P$6)=""),"",INDEX('Data'!$D$6:$F$205,97,$P$5))</f>
        <v/>
      </c>
      <c r="Q106">
        <f>IF(OR(INDEX('Data'!$D$6:$F$205,97,$P$5)="",INDEX('Data'!$D$6:$F$205,97,$P$6)=""),NA(),INDEX('Data'!$D$6:$F$205,97,$P$6))</f>
        <v/>
      </c>
      <c r="R106">
        <f>IF(ISNA(Q106),"",Q106)</f>
        <v/>
      </c>
    </row>
    <row r="107">
      <c r="P107">
        <f>IF(OR(INDEX('Data'!$D$6:$F$205,98,$P$5)="",INDEX('Data'!$D$6:$F$205,98,$P$6)=""),"",INDEX('Data'!$D$6:$F$205,98,$P$5))</f>
        <v/>
      </c>
      <c r="Q107">
        <f>IF(OR(INDEX('Data'!$D$6:$F$205,98,$P$5)="",INDEX('Data'!$D$6:$F$205,98,$P$6)=""),NA(),INDEX('Data'!$D$6:$F$205,98,$P$6))</f>
        <v/>
      </c>
      <c r="R107">
        <f>IF(ISNA(Q107),"",Q107)</f>
        <v/>
      </c>
    </row>
    <row r="108">
      <c r="P108">
        <f>IF(OR(INDEX('Data'!$D$6:$F$205,99,$P$5)="",INDEX('Data'!$D$6:$F$205,99,$P$6)=""),"",INDEX('Data'!$D$6:$F$205,99,$P$5))</f>
        <v/>
      </c>
      <c r="Q108">
        <f>IF(OR(INDEX('Data'!$D$6:$F$205,99,$P$5)="",INDEX('Data'!$D$6:$F$205,99,$P$6)=""),NA(),INDEX('Data'!$D$6:$F$205,99,$P$6))</f>
        <v/>
      </c>
      <c r="R108">
        <f>IF(ISNA(Q108),"",Q108)</f>
        <v/>
      </c>
    </row>
    <row r="109">
      <c r="P109">
        <f>IF(OR(INDEX('Data'!$D$6:$F$205,100,$P$5)="",INDEX('Data'!$D$6:$F$205,100,$P$6)=""),"",INDEX('Data'!$D$6:$F$205,100,$P$5))</f>
        <v/>
      </c>
      <c r="Q109">
        <f>IF(OR(INDEX('Data'!$D$6:$F$205,100,$P$5)="",INDEX('Data'!$D$6:$F$205,100,$P$6)=""),NA(),INDEX('Data'!$D$6:$F$205,100,$P$6))</f>
        <v/>
      </c>
      <c r="R109">
        <f>IF(ISNA(Q109),"",Q109)</f>
        <v/>
      </c>
    </row>
    <row r="110">
      <c r="P110">
        <f>IF(OR(INDEX('Data'!$D$6:$F$205,101,$P$5)="",INDEX('Data'!$D$6:$F$205,101,$P$6)=""),"",INDEX('Data'!$D$6:$F$205,101,$P$5))</f>
        <v/>
      </c>
      <c r="Q110">
        <f>IF(OR(INDEX('Data'!$D$6:$F$205,101,$P$5)="",INDEX('Data'!$D$6:$F$205,101,$P$6)=""),NA(),INDEX('Data'!$D$6:$F$205,101,$P$6))</f>
        <v/>
      </c>
      <c r="R110">
        <f>IF(ISNA(Q110),"",Q110)</f>
        <v/>
      </c>
    </row>
    <row r="111">
      <c r="P111">
        <f>IF(OR(INDEX('Data'!$D$6:$F$205,102,$P$5)="",INDEX('Data'!$D$6:$F$205,102,$P$6)=""),"",INDEX('Data'!$D$6:$F$205,102,$P$5))</f>
        <v/>
      </c>
      <c r="Q111">
        <f>IF(OR(INDEX('Data'!$D$6:$F$205,102,$P$5)="",INDEX('Data'!$D$6:$F$205,102,$P$6)=""),NA(),INDEX('Data'!$D$6:$F$205,102,$P$6))</f>
        <v/>
      </c>
      <c r="R111">
        <f>IF(ISNA(Q111),"",Q111)</f>
        <v/>
      </c>
    </row>
    <row r="112">
      <c r="P112">
        <f>IF(OR(INDEX('Data'!$D$6:$F$205,103,$P$5)="",INDEX('Data'!$D$6:$F$205,103,$P$6)=""),"",INDEX('Data'!$D$6:$F$205,103,$P$5))</f>
        <v/>
      </c>
      <c r="Q112">
        <f>IF(OR(INDEX('Data'!$D$6:$F$205,103,$P$5)="",INDEX('Data'!$D$6:$F$205,103,$P$6)=""),NA(),INDEX('Data'!$D$6:$F$205,103,$P$6))</f>
        <v/>
      </c>
      <c r="R112">
        <f>IF(ISNA(Q112),"",Q112)</f>
        <v/>
      </c>
    </row>
    <row r="113">
      <c r="P113">
        <f>IF(OR(INDEX('Data'!$D$6:$F$205,104,$P$5)="",INDEX('Data'!$D$6:$F$205,104,$P$6)=""),"",INDEX('Data'!$D$6:$F$205,104,$P$5))</f>
        <v/>
      </c>
      <c r="Q113">
        <f>IF(OR(INDEX('Data'!$D$6:$F$205,104,$P$5)="",INDEX('Data'!$D$6:$F$205,104,$P$6)=""),NA(),INDEX('Data'!$D$6:$F$205,104,$P$6))</f>
        <v/>
      </c>
      <c r="R113">
        <f>IF(ISNA(Q113),"",Q113)</f>
        <v/>
      </c>
    </row>
    <row r="114">
      <c r="P114">
        <f>IF(OR(INDEX('Data'!$D$6:$F$205,105,$P$5)="",INDEX('Data'!$D$6:$F$205,105,$P$6)=""),"",INDEX('Data'!$D$6:$F$205,105,$P$5))</f>
        <v/>
      </c>
      <c r="Q114">
        <f>IF(OR(INDEX('Data'!$D$6:$F$205,105,$P$5)="",INDEX('Data'!$D$6:$F$205,105,$P$6)=""),NA(),INDEX('Data'!$D$6:$F$205,105,$P$6))</f>
        <v/>
      </c>
      <c r="R114">
        <f>IF(ISNA(Q114),"",Q114)</f>
        <v/>
      </c>
    </row>
    <row r="115">
      <c r="P115">
        <f>IF(OR(INDEX('Data'!$D$6:$F$205,106,$P$5)="",INDEX('Data'!$D$6:$F$205,106,$P$6)=""),"",INDEX('Data'!$D$6:$F$205,106,$P$5))</f>
        <v/>
      </c>
      <c r="Q115">
        <f>IF(OR(INDEX('Data'!$D$6:$F$205,106,$P$5)="",INDEX('Data'!$D$6:$F$205,106,$P$6)=""),NA(),INDEX('Data'!$D$6:$F$205,106,$P$6))</f>
        <v/>
      </c>
      <c r="R115">
        <f>IF(ISNA(Q115),"",Q115)</f>
        <v/>
      </c>
    </row>
    <row r="116">
      <c r="P116">
        <f>IF(OR(INDEX('Data'!$D$6:$F$205,107,$P$5)="",INDEX('Data'!$D$6:$F$205,107,$P$6)=""),"",INDEX('Data'!$D$6:$F$205,107,$P$5))</f>
        <v/>
      </c>
      <c r="Q116">
        <f>IF(OR(INDEX('Data'!$D$6:$F$205,107,$P$5)="",INDEX('Data'!$D$6:$F$205,107,$P$6)=""),NA(),INDEX('Data'!$D$6:$F$205,107,$P$6))</f>
        <v/>
      </c>
      <c r="R116">
        <f>IF(ISNA(Q116),"",Q116)</f>
        <v/>
      </c>
    </row>
    <row r="117">
      <c r="P117">
        <f>IF(OR(INDEX('Data'!$D$6:$F$205,108,$P$5)="",INDEX('Data'!$D$6:$F$205,108,$P$6)=""),"",INDEX('Data'!$D$6:$F$205,108,$P$5))</f>
        <v/>
      </c>
      <c r="Q117">
        <f>IF(OR(INDEX('Data'!$D$6:$F$205,108,$P$5)="",INDEX('Data'!$D$6:$F$205,108,$P$6)=""),NA(),INDEX('Data'!$D$6:$F$205,108,$P$6))</f>
        <v/>
      </c>
      <c r="R117">
        <f>IF(ISNA(Q117),"",Q117)</f>
        <v/>
      </c>
    </row>
    <row r="118">
      <c r="P118">
        <f>IF(OR(INDEX('Data'!$D$6:$F$205,109,$P$5)="",INDEX('Data'!$D$6:$F$205,109,$P$6)=""),"",INDEX('Data'!$D$6:$F$205,109,$P$5))</f>
        <v/>
      </c>
      <c r="Q118">
        <f>IF(OR(INDEX('Data'!$D$6:$F$205,109,$P$5)="",INDEX('Data'!$D$6:$F$205,109,$P$6)=""),NA(),INDEX('Data'!$D$6:$F$205,109,$P$6))</f>
        <v/>
      </c>
      <c r="R118">
        <f>IF(ISNA(Q118),"",Q118)</f>
        <v/>
      </c>
    </row>
    <row r="119">
      <c r="P119">
        <f>IF(OR(INDEX('Data'!$D$6:$F$205,110,$P$5)="",INDEX('Data'!$D$6:$F$205,110,$P$6)=""),"",INDEX('Data'!$D$6:$F$205,110,$P$5))</f>
        <v/>
      </c>
      <c r="Q119">
        <f>IF(OR(INDEX('Data'!$D$6:$F$205,110,$P$5)="",INDEX('Data'!$D$6:$F$205,110,$P$6)=""),NA(),INDEX('Data'!$D$6:$F$205,110,$P$6))</f>
        <v/>
      </c>
      <c r="R119">
        <f>IF(ISNA(Q119),"",Q119)</f>
        <v/>
      </c>
    </row>
    <row r="120">
      <c r="P120">
        <f>IF(OR(INDEX('Data'!$D$6:$F$205,111,$P$5)="",INDEX('Data'!$D$6:$F$205,111,$P$6)=""),"",INDEX('Data'!$D$6:$F$205,111,$P$5))</f>
        <v/>
      </c>
      <c r="Q120">
        <f>IF(OR(INDEX('Data'!$D$6:$F$205,111,$P$5)="",INDEX('Data'!$D$6:$F$205,111,$P$6)=""),NA(),INDEX('Data'!$D$6:$F$205,111,$P$6))</f>
        <v/>
      </c>
      <c r="R120">
        <f>IF(ISNA(Q120),"",Q120)</f>
        <v/>
      </c>
    </row>
    <row r="121">
      <c r="P121">
        <f>IF(OR(INDEX('Data'!$D$6:$F$205,112,$P$5)="",INDEX('Data'!$D$6:$F$205,112,$P$6)=""),"",INDEX('Data'!$D$6:$F$205,112,$P$5))</f>
        <v/>
      </c>
      <c r="Q121">
        <f>IF(OR(INDEX('Data'!$D$6:$F$205,112,$P$5)="",INDEX('Data'!$D$6:$F$205,112,$P$6)=""),NA(),INDEX('Data'!$D$6:$F$205,112,$P$6))</f>
        <v/>
      </c>
      <c r="R121">
        <f>IF(ISNA(Q121),"",Q121)</f>
        <v/>
      </c>
    </row>
    <row r="122">
      <c r="P122">
        <f>IF(OR(INDEX('Data'!$D$6:$F$205,113,$P$5)="",INDEX('Data'!$D$6:$F$205,113,$P$6)=""),"",INDEX('Data'!$D$6:$F$205,113,$P$5))</f>
        <v/>
      </c>
      <c r="Q122">
        <f>IF(OR(INDEX('Data'!$D$6:$F$205,113,$P$5)="",INDEX('Data'!$D$6:$F$205,113,$P$6)=""),NA(),INDEX('Data'!$D$6:$F$205,113,$P$6))</f>
        <v/>
      </c>
      <c r="R122">
        <f>IF(ISNA(Q122),"",Q122)</f>
        <v/>
      </c>
    </row>
    <row r="123">
      <c r="P123">
        <f>IF(OR(INDEX('Data'!$D$6:$F$205,114,$P$5)="",INDEX('Data'!$D$6:$F$205,114,$P$6)=""),"",INDEX('Data'!$D$6:$F$205,114,$P$5))</f>
        <v/>
      </c>
      <c r="Q123">
        <f>IF(OR(INDEX('Data'!$D$6:$F$205,114,$P$5)="",INDEX('Data'!$D$6:$F$205,114,$P$6)=""),NA(),INDEX('Data'!$D$6:$F$205,114,$P$6))</f>
        <v/>
      </c>
      <c r="R123">
        <f>IF(ISNA(Q123),"",Q123)</f>
        <v/>
      </c>
    </row>
    <row r="124">
      <c r="P124">
        <f>IF(OR(INDEX('Data'!$D$6:$F$205,115,$P$5)="",INDEX('Data'!$D$6:$F$205,115,$P$6)=""),"",INDEX('Data'!$D$6:$F$205,115,$P$5))</f>
        <v/>
      </c>
      <c r="Q124">
        <f>IF(OR(INDEX('Data'!$D$6:$F$205,115,$P$5)="",INDEX('Data'!$D$6:$F$205,115,$P$6)=""),NA(),INDEX('Data'!$D$6:$F$205,115,$P$6))</f>
        <v/>
      </c>
      <c r="R124">
        <f>IF(ISNA(Q124),"",Q124)</f>
        <v/>
      </c>
    </row>
    <row r="125">
      <c r="P125">
        <f>IF(OR(INDEX('Data'!$D$6:$F$205,116,$P$5)="",INDEX('Data'!$D$6:$F$205,116,$P$6)=""),"",INDEX('Data'!$D$6:$F$205,116,$P$5))</f>
        <v/>
      </c>
      <c r="Q125">
        <f>IF(OR(INDEX('Data'!$D$6:$F$205,116,$P$5)="",INDEX('Data'!$D$6:$F$205,116,$P$6)=""),NA(),INDEX('Data'!$D$6:$F$205,116,$P$6))</f>
        <v/>
      </c>
      <c r="R125">
        <f>IF(ISNA(Q125),"",Q125)</f>
        <v/>
      </c>
    </row>
    <row r="126">
      <c r="P126">
        <f>IF(OR(INDEX('Data'!$D$6:$F$205,117,$P$5)="",INDEX('Data'!$D$6:$F$205,117,$P$6)=""),"",INDEX('Data'!$D$6:$F$205,117,$P$5))</f>
        <v/>
      </c>
      <c r="Q126">
        <f>IF(OR(INDEX('Data'!$D$6:$F$205,117,$P$5)="",INDEX('Data'!$D$6:$F$205,117,$P$6)=""),NA(),INDEX('Data'!$D$6:$F$205,117,$P$6))</f>
        <v/>
      </c>
      <c r="R126">
        <f>IF(ISNA(Q126),"",Q126)</f>
        <v/>
      </c>
    </row>
    <row r="127">
      <c r="P127">
        <f>IF(OR(INDEX('Data'!$D$6:$F$205,118,$P$5)="",INDEX('Data'!$D$6:$F$205,118,$P$6)=""),"",INDEX('Data'!$D$6:$F$205,118,$P$5))</f>
        <v/>
      </c>
      <c r="Q127">
        <f>IF(OR(INDEX('Data'!$D$6:$F$205,118,$P$5)="",INDEX('Data'!$D$6:$F$205,118,$P$6)=""),NA(),INDEX('Data'!$D$6:$F$205,118,$P$6))</f>
        <v/>
      </c>
      <c r="R127">
        <f>IF(ISNA(Q127),"",Q127)</f>
        <v/>
      </c>
    </row>
    <row r="128">
      <c r="P128">
        <f>IF(OR(INDEX('Data'!$D$6:$F$205,119,$P$5)="",INDEX('Data'!$D$6:$F$205,119,$P$6)=""),"",INDEX('Data'!$D$6:$F$205,119,$P$5))</f>
        <v/>
      </c>
      <c r="Q128">
        <f>IF(OR(INDEX('Data'!$D$6:$F$205,119,$P$5)="",INDEX('Data'!$D$6:$F$205,119,$P$6)=""),NA(),INDEX('Data'!$D$6:$F$205,119,$P$6))</f>
        <v/>
      </c>
      <c r="R128">
        <f>IF(ISNA(Q128),"",Q128)</f>
        <v/>
      </c>
    </row>
    <row r="129">
      <c r="P129">
        <f>IF(OR(INDEX('Data'!$D$6:$F$205,120,$P$5)="",INDEX('Data'!$D$6:$F$205,120,$P$6)=""),"",INDEX('Data'!$D$6:$F$205,120,$P$5))</f>
        <v/>
      </c>
      <c r="Q129">
        <f>IF(OR(INDEX('Data'!$D$6:$F$205,120,$P$5)="",INDEX('Data'!$D$6:$F$205,120,$P$6)=""),NA(),INDEX('Data'!$D$6:$F$205,120,$P$6))</f>
        <v/>
      </c>
      <c r="R129">
        <f>IF(ISNA(Q129),"",Q129)</f>
        <v/>
      </c>
    </row>
    <row r="130">
      <c r="P130">
        <f>IF(OR(INDEX('Data'!$D$6:$F$205,121,$P$5)="",INDEX('Data'!$D$6:$F$205,121,$P$6)=""),"",INDEX('Data'!$D$6:$F$205,121,$P$5))</f>
        <v/>
      </c>
      <c r="Q130">
        <f>IF(OR(INDEX('Data'!$D$6:$F$205,121,$P$5)="",INDEX('Data'!$D$6:$F$205,121,$P$6)=""),NA(),INDEX('Data'!$D$6:$F$205,121,$P$6))</f>
        <v/>
      </c>
      <c r="R130">
        <f>IF(ISNA(Q130),"",Q130)</f>
        <v/>
      </c>
    </row>
    <row r="131">
      <c r="P131">
        <f>IF(OR(INDEX('Data'!$D$6:$F$205,122,$P$5)="",INDEX('Data'!$D$6:$F$205,122,$P$6)=""),"",INDEX('Data'!$D$6:$F$205,122,$P$5))</f>
        <v/>
      </c>
      <c r="Q131">
        <f>IF(OR(INDEX('Data'!$D$6:$F$205,122,$P$5)="",INDEX('Data'!$D$6:$F$205,122,$P$6)=""),NA(),INDEX('Data'!$D$6:$F$205,122,$P$6))</f>
        <v/>
      </c>
      <c r="R131">
        <f>IF(ISNA(Q131),"",Q131)</f>
        <v/>
      </c>
    </row>
    <row r="132">
      <c r="P132">
        <f>IF(OR(INDEX('Data'!$D$6:$F$205,123,$P$5)="",INDEX('Data'!$D$6:$F$205,123,$P$6)=""),"",INDEX('Data'!$D$6:$F$205,123,$P$5))</f>
        <v/>
      </c>
      <c r="Q132">
        <f>IF(OR(INDEX('Data'!$D$6:$F$205,123,$P$5)="",INDEX('Data'!$D$6:$F$205,123,$P$6)=""),NA(),INDEX('Data'!$D$6:$F$205,123,$P$6))</f>
        <v/>
      </c>
      <c r="R132">
        <f>IF(ISNA(Q132),"",Q132)</f>
        <v/>
      </c>
    </row>
    <row r="133">
      <c r="P133">
        <f>IF(OR(INDEX('Data'!$D$6:$F$205,124,$P$5)="",INDEX('Data'!$D$6:$F$205,124,$P$6)=""),"",INDEX('Data'!$D$6:$F$205,124,$P$5))</f>
        <v/>
      </c>
      <c r="Q133">
        <f>IF(OR(INDEX('Data'!$D$6:$F$205,124,$P$5)="",INDEX('Data'!$D$6:$F$205,124,$P$6)=""),NA(),INDEX('Data'!$D$6:$F$205,124,$P$6))</f>
        <v/>
      </c>
      <c r="R133">
        <f>IF(ISNA(Q133),"",Q133)</f>
        <v/>
      </c>
    </row>
    <row r="134">
      <c r="P134">
        <f>IF(OR(INDEX('Data'!$D$6:$F$205,125,$P$5)="",INDEX('Data'!$D$6:$F$205,125,$P$6)=""),"",INDEX('Data'!$D$6:$F$205,125,$P$5))</f>
        <v/>
      </c>
      <c r="Q134">
        <f>IF(OR(INDEX('Data'!$D$6:$F$205,125,$P$5)="",INDEX('Data'!$D$6:$F$205,125,$P$6)=""),NA(),INDEX('Data'!$D$6:$F$205,125,$P$6))</f>
        <v/>
      </c>
      <c r="R134">
        <f>IF(ISNA(Q134),"",Q134)</f>
        <v/>
      </c>
    </row>
    <row r="135">
      <c r="P135">
        <f>IF(OR(INDEX('Data'!$D$6:$F$205,126,$P$5)="",INDEX('Data'!$D$6:$F$205,126,$P$6)=""),"",INDEX('Data'!$D$6:$F$205,126,$P$5))</f>
        <v/>
      </c>
      <c r="Q135">
        <f>IF(OR(INDEX('Data'!$D$6:$F$205,126,$P$5)="",INDEX('Data'!$D$6:$F$205,126,$P$6)=""),NA(),INDEX('Data'!$D$6:$F$205,126,$P$6))</f>
        <v/>
      </c>
      <c r="R135">
        <f>IF(ISNA(Q135),"",Q135)</f>
        <v/>
      </c>
    </row>
    <row r="136">
      <c r="P136">
        <f>IF(OR(INDEX('Data'!$D$6:$F$205,127,$P$5)="",INDEX('Data'!$D$6:$F$205,127,$P$6)=""),"",INDEX('Data'!$D$6:$F$205,127,$P$5))</f>
        <v/>
      </c>
      <c r="Q136">
        <f>IF(OR(INDEX('Data'!$D$6:$F$205,127,$P$5)="",INDEX('Data'!$D$6:$F$205,127,$P$6)=""),NA(),INDEX('Data'!$D$6:$F$205,127,$P$6))</f>
        <v/>
      </c>
      <c r="R136">
        <f>IF(ISNA(Q136),"",Q136)</f>
        <v/>
      </c>
    </row>
    <row r="137">
      <c r="P137">
        <f>IF(OR(INDEX('Data'!$D$6:$F$205,128,$P$5)="",INDEX('Data'!$D$6:$F$205,128,$P$6)=""),"",INDEX('Data'!$D$6:$F$205,128,$P$5))</f>
        <v/>
      </c>
      <c r="Q137">
        <f>IF(OR(INDEX('Data'!$D$6:$F$205,128,$P$5)="",INDEX('Data'!$D$6:$F$205,128,$P$6)=""),NA(),INDEX('Data'!$D$6:$F$205,128,$P$6))</f>
        <v/>
      </c>
      <c r="R137">
        <f>IF(ISNA(Q137),"",Q137)</f>
        <v/>
      </c>
    </row>
    <row r="138">
      <c r="P138">
        <f>IF(OR(INDEX('Data'!$D$6:$F$205,129,$P$5)="",INDEX('Data'!$D$6:$F$205,129,$P$6)=""),"",INDEX('Data'!$D$6:$F$205,129,$P$5))</f>
        <v/>
      </c>
      <c r="Q138">
        <f>IF(OR(INDEX('Data'!$D$6:$F$205,129,$P$5)="",INDEX('Data'!$D$6:$F$205,129,$P$6)=""),NA(),INDEX('Data'!$D$6:$F$205,129,$P$6))</f>
        <v/>
      </c>
      <c r="R138">
        <f>IF(ISNA(Q138),"",Q138)</f>
        <v/>
      </c>
    </row>
    <row r="139">
      <c r="P139">
        <f>IF(OR(INDEX('Data'!$D$6:$F$205,130,$P$5)="",INDEX('Data'!$D$6:$F$205,130,$P$6)=""),"",INDEX('Data'!$D$6:$F$205,130,$P$5))</f>
        <v/>
      </c>
      <c r="Q139">
        <f>IF(OR(INDEX('Data'!$D$6:$F$205,130,$P$5)="",INDEX('Data'!$D$6:$F$205,130,$P$6)=""),NA(),INDEX('Data'!$D$6:$F$205,130,$P$6))</f>
        <v/>
      </c>
      <c r="R139">
        <f>IF(ISNA(Q139),"",Q139)</f>
        <v/>
      </c>
    </row>
    <row r="140">
      <c r="P140">
        <f>IF(OR(INDEX('Data'!$D$6:$F$205,131,$P$5)="",INDEX('Data'!$D$6:$F$205,131,$P$6)=""),"",INDEX('Data'!$D$6:$F$205,131,$P$5))</f>
        <v/>
      </c>
      <c r="Q140">
        <f>IF(OR(INDEX('Data'!$D$6:$F$205,131,$P$5)="",INDEX('Data'!$D$6:$F$205,131,$P$6)=""),NA(),INDEX('Data'!$D$6:$F$205,131,$P$6))</f>
        <v/>
      </c>
      <c r="R140">
        <f>IF(ISNA(Q140),"",Q140)</f>
        <v/>
      </c>
    </row>
    <row r="141">
      <c r="P141">
        <f>IF(OR(INDEX('Data'!$D$6:$F$205,132,$P$5)="",INDEX('Data'!$D$6:$F$205,132,$P$6)=""),"",INDEX('Data'!$D$6:$F$205,132,$P$5))</f>
        <v/>
      </c>
      <c r="Q141">
        <f>IF(OR(INDEX('Data'!$D$6:$F$205,132,$P$5)="",INDEX('Data'!$D$6:$F$205,132,$P$6)=""),NA(),INDEX('Data'!$D$6:$F$205,132,$P$6))</f>
        <v/>
      </c>
      <c r="R141">
        <f>IF(ISNA(Q141),"",Q141)</f>
        <v/>
      </c>
    </row>
    <row r="142">
      <c r="P142">
        <f>IF(OR(INDEX('Data'!$D$6:$F$205,133,$P$5)="",INDEX('Data'!$D$6:$F$205,133,$P$6)=""),"",INDEX('Data'!$D$6:$F$205,133,$P$5))</f>
        <v/>
      </c>
      <c r="Q142">
        <f>IF(OR(INDEX('Data'!$D$6:$F$205,133,$P$5)="",INDEX('Data'!$D$6:$F$205,133,$P$6)=""),NA(),INDEX('Data'!$D$6:$F$205,133,$P$6))</f>
        <v/>
      </c>
      <c r="R142">
        <f>IF(ISNA(Q142),"",Q142)</f>
        <v/>
      </c>
    </row>
    <row r="143">
      <c r="P143">
        <f>IF(OR(INDEX('Data'!$D$6:$F$205,134,$P$5)="",INDEX('Data'!$D$6:$F$205,134,$P$6)=""),"",INDEX('Data'!$D$6:$F$205,134,$P$5))</f>
        <v/>
      </c>
      <c r="Q143">
        <f>IF(OR(INDEX('Data'!$D$6:$F$205,134,$P$5)="",INDEX('Data'!$D$6:$F$205,134,$P$6)=""),NA(),INDEX('Data'!$D$6:$F$205,134,$P$6))</f>
        <v/>
      </c>
      <c r="R143">
        <f>IF(ISNA(Q143),"",Q143)</f>
        <v/>
      </c>
    </row>
    <row r="144">
      <c r="P144">
        <f>IF(OR(INDEX('Data'!$D$6:$F$205,135,$P$5)="",INDEX('Data'!$D$6:$F$205,135,$P$6)=""),"",INDEX('Data'!$D$6:$F$205,135,$P$5))</f>
        <v/>
      </c>
      <c r="Q144">
        <f>IF(OR(INDEX('Data'!$D$6:$F$205,135,$P$5)="",INDEX('Data'!$D$6:$F$205,135,$P$6)=""),NA(),INDEX('Data'!$D$6:$F$205,135,$P$6))</f>
        <v/>
      </c>
      <c r="R144">
        <f>IF(ISNA(Q144),"",Q144)</f>
        <v/>
      </c>
    </row>
    <row r="145">
      <c r="P145">
        <f>IF(OR(INDEX('Data'!$D$6:$F$205,136,$P$5)="",INDEX('Data'!$D$6:$F$205,136,$P$6)=""),"",INDEX('Data'!$D$6:$F$205,136,$P$5))</f>
        <v/>
      </c>
      <c r="Q145">
        <f>IF(OR(INDEX('Data'!$D$6:$F$205,136,$P$5)="",INDEX('Data'!$D$6:$F$205,136,$P$6)=""),NA(),INDEX('Data'!$D$6:$F$205,136,$P$6))</f>
        <v/>
      </c>
      <c r="R145">
        <f>IF(ISNA(Q145),"",Q145)</f>
        <v/>
      </c>
    </row>
    <row r="146">
      <c r="P146">
        <f>IF(OR(INDEX('Data'!$D$6:$F$205,137,$P$5)="",INDEX('Data'!$D$6:$F$205,137,$P$6)=""),"",INDEX('Data'!$D$6:$F$205,137,$P$5))</f>
        <v/>
      </c>
      <c r="Q146">
        <f>IF(OR(INDEX('Data'!$D$6:$F$205,137,$P$5)="",INDEX('Data'!$D$6:$F$205,137,$P$6)=""),NA(),INDEX('Data'!$D$6:$F$205,137,$P$6))</f>
        <v/>
      </c>
      <c r="R146">
        <f>IF(ISNA(Q146),"",Q146)</f>
        <v/>
      </c>
    </row>
    <row r="147">
      <c r="P147">
        <f>IF(OR(INDEX('Data'!$D$6:$F$205,138,$P$5)="",INDEX('Data'!$D$6:$F$205,138,$P$6)=""),"",INDEX('Data'!$D$6:$F$205,138,$P$5))</f>
        <v/>
      </c>
      <c r="Q147">
        <f>IF(OR(INDEX('Data'!$D$6:$F$205,138,$P$5)="",INDEX('Data'!$D$6:$F$205,138,$P$6)=""),NA(),INDEX('Data'!$D$6:$F$205,138,$P$6))</f>
        <v/>
      </c>
      <c r="R147">
        <f>IF(ISNA(Q147),"",Q147)</f>
        <v/>
      </c>
    </row>
    <row r="148">
      <c r="P148">
        <f>IF(OR(INDEX('Data'!$D$6:$F$205,139,$P$5)="",INDEX('Data'!$D$6:$F$205,139,$P$6)=""),"",INDEX('Data'!$D$6:$F$205,139,$P$5))</f>
        <v/>
      </c>
      <c r="Q148">
        <f>IF(OR(INDEX('Data'!$D$6:$F$205,139,$P$5)="",INDEX('Data'!$D$6:$F$205,139,$P$6)=""),NA(),INDEX('Data'!$D$6:$F$205,139,$P$6))</f>
        <v/>
      </c>
      <c r="R148">
        <f>IF(ISNA(Q148),"",Q148)</f>
        <v/>
      </c>
    </row>
    <row r="149">
      <c r="P149">
        <f>IF(OR(INDEX('Data'!$D$6:$F$205,140,$P$5)="",INDEX('Data'!$D$6:$F$205,140,$P$6)=""),"",INDEX('Data'!$D$6:$F$205,140,$P$5))</f>
        <v/>
      </c>
      <c r="Q149">
        <f>IF(OR(INDEX('Data'!$D$6:$F$205,140,$P$5)="",INDEX('Data'!$D$6:$F$205,140,$P$6)=""),NA(),INDEX('Data'!$D$6:$F$205,140,$P$6))</f>
        <v/>
      </c>
      <c r="R149">
        <f>IF(ISNA(Q149),"",Q149)</f>
        <v/>
      </c>
    </row>
    <row r="150">
      <c r="P150">
        <f>IF(OR(INDEX('Data'!$D$6:$F$205,141,$P$5)="",INDEX('Data'!$D$6:$F$205,141,$P$6)=""),"",INDEX('Data'!$D$6:$F$205,141,$P$5))</f>
        <v/>
      </c>
      <c r="Q150">
        <f>IF(OR(INDEX('Data'!$D$6:$F$205,141,$P$5)="",INDEX('Data'!$D$6:$F$205,141,$P$6)=""),NA(),INDEX('Data'!$D$6:$F$205,141,$P$6))</f>
        <v/>
      </c>
      <c r="R150">
        <f>IF(ISNA(Q150),"",Q150)</f>
        <v/>
      </c>
    </row>
    <row r="151">
      <c r="P151">
        <f>IF(OR(INDEX('Data'!$D$6:$F$205,142,$P$5)="",INDEX('Data'!$D$6:$F$205,142,$P$6)=""),"",INDEX('Data'!$D$6:$F$205,142,$P$5))</f>
        <v/>
      </c>
      <c r="Q151">
        <f>IF(OR(INDEX('Data'!$D$6:$F$205,142,$P$5)="",INDEX('Data'!$D$6:$F$205,142,$P$6)=""),NA(),INDEX('Data'!$D$6:$F$205,142,$P$6))</f>
        <v/>
      </c>
      <c r="R151">
        <f>IF(ISNA(Q151),"",Q151)</f>
        <v/>
      </c>
    </row>
    <row r="152">
      <c r="P152">
        <f>IF(OR(INDEX('Data'!$D$6:$F$205,143,$P$5)="",INDEX('Data'!$D$6:$F$205,143,$P$6)=""),"",INDEX('Data'!$D$6:$F$205,143,$P$5))</f>
        <v/>
      </c>
      <c r="Q152">
        <f>IF(OR(INDEX('Data'!$D$6:$F$205,143,$P$5)="",INDEX('Data'!$D$6:$F$205,143,$P$6)=""),NA(),INDEX('Data'!$D$6:$F$205,143,$P$6))</f>
        <v/>
      </c>
      <c r="R152">
        <f>IF(ISNA(Q152),"",Q152)</f>
        <v/>
      </c>
    </row>
    <row r="153">
      <c r="P153">
        <f>IF(OR(INDEX('Data'!$D$6:$F$205,144,$P$5)="",INDEX('Data'!$D$6:$F$205,144,$P$6)=""),"",INDEX('Data'!$D$6:$F$205,144,$P$5))</f>
        <v/>
      </c>
      <c r="Q153">
        <f>IF(OR(INDEX('Data'!$D$6:$F$205,144,$P$5)="",INDEX('Data'!$D$6:$F$205,144,$P$6)=""),NA(),INDEX('Data'!$D$6:$F$205,144,$P$6))</f>
        <v/>
      </c>
      <c r="R153">
        <f>IF(ISNA(Q153),"",Q153)</f>
        <v/>
      </c>
    </row>
    <row r="154">
      <c r="P154">
        <f>IF(OR(INDEX('Data'!$D$6:$F$205,145,$P$5)="",INDEX('Data'!$D$6:$F$205,145,$P$6)=""),"",INDEX('Data'!$D$6:$F$205,145,$P$5))</f>
        <v/>
      </c>
      <c r="Q154">
        <f>IF(OR(INDEX('Data'!$D$6:$F$205,145,$P$5)="",INDEX('Data'!$D$6:$F$205,145,$P$6)=""),NA(),INDEX('Data'!$D$6:$F$205,145,$P$6))</f>
        <v/>
      </c>
      <c r="R154">
        <f>IF(ISNA(Q154),"",Q154)</f>
        <v/>
      </c>
    </row>
    <row r="155">
      <c r="P155">
        <f>IF(OR(INDEX('Data'!$D$6:$F$205,146,$P$5)="",INDEX('Data'!$D$6:$F$205,146,$P$6)=""),"",INDEX('Data'!$D$6:$F$205,146,$P$5))</f>
        <v/>
      </c>
      <c r="Q155">
        <f>IF(OR(INDEX('Data'!$D$6:$F$205,146,$P$5)="",INDEX('Data'!$D$6:$F$205,146,$P$6)=""),NA(),INDEX('Data'!$D$6:$F$205,146,$P$6))</f>
        <v/>
      </c>
      <c r="R155">
        <f>IF(ISNA(Q155),"",Q155)</f>
        <v/>
      </c>
    </row>
    <row r="156">
      <c r="P156">
        <f>IF(OR(INDEX('Data'!$D$6:$F$205,147,$P$5)="",INDEX('Data'!$D$6:$F$205,147,$P$6)=""),"",INDEX('Data'!$D$6:$F$205,147,$P$5))</f>
        <v/>
      </c>
      <c r="Q156">
        <f>IF(OR(INDEX('Data'!$D$6:$F$205,147,$P$5)="",INDEX('Data'!$D$6:$F$205,147,$P$6)=""),NA(),INDEX('Data'!$D$6:$F$205,147,$P$6))</f>
        <v/>
      </c>
      <c r="R156">
        <f>IF(ISNA(Q156),"",Q156)</f>
        <v/>
      </c>
    </row>
    <row r="157">
      <c r="P157">
        <f>IF(OR(INDEX('Data'!$D$6:$F$205,148,$P$5)="",INDEX('Data'!$D$6:$F$205,148,$P$6)=""),"",INDEX('Data'!$D$6:$F$205,148,$P$5))</f>
        <v/>
      </c>
      <c r="Q157">
        <f>IF(OR(INDEX('Data'!$D$6:$F$205,148,$P$5)="",INDEX('Data'!$D$6:$F$205,148,$P$6)=""),NA(),INDEX('Data'!$D$6:$F$205,148,$P$6))</f>
        <v/>
      </c>
      <c r="R157">
        <f>IF(ISNA(Q157),"",Q157)</f>
        <v/>
      </c>
    </row>
    <row r="158">
      <c r="P158">
        <f>IF(OR(INDEX('Data'!$D$6:$F$205,149,$P$5)="",INDEX('Data'!$D$6:$F$205,149,$P$6)=""),"",INDEX('Data'!$D$6:$F$205,149,$P$5))</f>
        <v/>
      </c>
      <c r="Q158">
        <f>IF(OR(INDEX('Data'!$D$6:$F$205,149,$P$5)="",INDEX('Data'!$D$6:$F$205,149,$P$6)=""),NA(),INDEX('Data'!$D$6:$F$205,149,$P$6))</f>
        <v/>
      </c>
      <c r="R158">
        <f>IF(ISNA(Q158),"",Q158)</f>
        <v/>
      </c>
    </row>
    <row r="159">
      <c r="P159">
        <f>IF(OR(INDEX('Data'!$D$6:$F$205,150,$P$5)="",INDEX('Data'!$D$6:$F$205,150,$P$6)=""),"",INDEX('Data'!$D$6:$F$205,150,$P$5))</f>
        <v/>
      </c>
      <c r="Q159">
        <f>IF(OR(INDEX('Data'!$D$6:$F$205,150,$P$5)="",INDEX('Data'!$D$6:$F$205,150,$P$6)=""),NA(),INDEX('Data'!$D$6:$F$205,150,$P$6))</f>
        <v/>
      </c>
      <c r="R159">
        <f>IF(ISNA(Q159),"",Q159)</f>
        <v/>
      </c>
    </row>
    <row r="160">
      <c r="P160">
        <f>IF(OR(INDEX('Data'!$D$6:$F$205,151,$P$5)="",INDEX('Data'!$D$6:$F$205,151,$P$6)=""),"",INDEX('Data'!$D$6:$F$205,151,$P$5))</f>
        <v/>
      </c>
      <c r="Q160">
        <f>IF(OR(INDEX('Data'!$D$6:$F$205,151,$P$5)="",INDEX('Data'!$D$6:$F$205,151,$P$6)=""),NA(),INDEX('Data'!$D$6:$F$205,151,$P$6))</f>
        <v/>
      </c>
      <c r="R160">
        <f>IF(ISNA(Q160),"",Q160)</f>
        <v/>
      </c>
    </row>
    <row r="161">
      <c r="P161">
        <f>IF(OR(INDEX('Data'!$D$6:$F$205,152,$P$5)="",INDEX('Data'!$D$6:$F$205,152,$P$6)=""),"",INDEX('Data'!$D$6:$F$205,152,$P$5))</f>
        <v/>
      </c>
      <c r="Q161">
        <f>IF(OR(INDEX('Data'!$D$6:$F$205,152,$P$5)="",INDEX('Data'!$D$6:$F$205,152,$P$6)=""),NA(),INDEX('Data'!$D$6:$F$205,152,$P$6))</f>
        <v/>
      </c>
      <c r="R161">
        <f>IF(ISNA(Q161),"",Q161)</f>
        <v/>
      </c>
    </row>
    <row r="162">
      <c r="P162">
        <f>IF(OR(INDEX('Data'!$D$6:$F$205,153,$P$5)="",INDEX('Data'!$D$6:$F$205,153,$P$6)=""),"",INDEX('Data'!$D$6:$F$205,153,$P$5))</f>
        <v/>
      </c>
      <c r="Q162">
        <f>IF(OR(INDEX('Data'!$D$6:$F$205,153,$P$5)="",INDEX('Data'!$D$6:$F$205,153,$P$6)=""),NA(),INDEX('Data'!$D$6:$F$205,153,$P$6))</f>
        <v/>
      </c>
      <c r="R162">
        <f>IF(ISNA(Q162),"",Q162)</f>
        <v/>
      </c>
    </row>
    <row r="163">
      <c r="P163">
        <f>IF(OR(INDEX('Data'!$D$6:$F$205,154,$P$5)="",INDEX('Data'!$D$6:$F$205,154,$P$6)=""),"",INDEX('Data'!$D$6:$F$205,154,$P$5))</f>
        <v/>
      </c>
      <c r="Q163">
        <f>IF(OR(INDEX('Data'!$D$6:$F$205,154,$P$5)="",INDEX('Data'!$D$6:$F$205,154,$P$6)=""),NA(),INDEX('Data'!$D$6:$F$205,154,$P$6))</f>
        <v/>
      </c>
      <c r="R163">
        <f>IF(ISNA(Q163),"",Q163)</f>
        <v/>
      </c>
    </row>
    <row r="164">
      <c r="P164">
        <f>IF(OR(INDEX('Data'!$D$6:$F$205,155,$P$5)="",INDEX('Data'!$D$6:$F$205,155,$P$6)=""),"",INDEX('Data'!$D$6:$F$205,155,$P$5))</f>
        <v/>
      </c>
      <c r="Q164">
        <f>IF(OR(INDEX('Data'!$D$6:$F$205,155,$P$5)="",INDEX('Data'!$D$6:$F$205,155,$P$6)=""),NA(),INDEX('Data'!$D$6:$F$205,155,$P$6))</f>
        <v/>
      </c>
      <c r="R164">
        <f>IF(ISNA(Q164),"",Q164)</f>
        <v/>
      </c>
    </row>
    <row r="165">
      <c r="P165">
        <f>IF(OR(INDEX('Data'!$D$6:$F$205,156,$P$5)="",INDEX('Data'!$D$6:$F$205,156,$P$6)=""),"",INDEX('Data'!$D$6:$F$205,156,$P$5))</f>
        <v/>
      </c>
      <c r="Q165">
        <f>IF(OR(INDEX('Data'!$D$6:$F$205,156,$P$5)="",INDEX('Data'!$D$6:$F$205,156,$P$6)=""),NA(),INDEX('Data'!$D$6:$F$205,156,$P$6))</f>
        <v/>
      </c>
      <c r="R165">
        <f>IF(ISNA(Q165),"",Q165)</f>
        <v/>
      </c>
    </row>
    <row r="166">
      <c r="P166">
        <f>IF(OR(INDEX('Data'!$D$6:$F$205,157,$P$5)="",INDEX('Data'!$D$6:$F$205,157,$P$6)=""),"",INDEX('Data'!$D$6:$F$205,157,$P$5))</f>
        <v/>
      </c>
      <c r="Q166">
        <f>IF(OR(INDEX('Data'!$D$6:$F$205,157,$P$5)="",INDEX('Data'!$D$6:$F$205,157,$P$6)=""),NA(),INDEX('Data'!$D$6:$F$205,157,$P$6))</f>
        <v/>
      </c>
      <c r="R166">
        <f>IF(ISNA(Q166),"",Q166)</f>
        <v/>
      </c>
    </row>
    <row r="167">
      <c r="P167">
        <f>IF(OR(INDEX('Data'!$D$6:$F$205,158,$P$5)="",INDEX('Data'!$D$6:$F$205,158,$P$6)=""),"",INDEX('Data'!$D$6:$F$205,158,$P$5))</f>
        <v/>
      </c>
      <c r="Q167">
        <f>IF(OR(INDEX('Data'!$D$6:$F$205,158,$P$5)="",INDEX('Data'!$D$6:$F$205,158,$P$6)=""),NA(),INDEX('Data'!$D$6:$F$205,158,$P$6))</f>
        <v/>
      </c>
      <c r="R167">
        <f>IF(ISNA(Q167),"",Q167)</f>
        <v/>
      </c>
    </row>
    <row r="168">
      <c r="P168">
        <f>IF(OR(INDEX('Data'!$D$6:$F$205,159,$P$5)="",INDEX('Data'!$D$6:$F$205,159,$P$6)=""),"",INDEX('Data'!$D$6:$F$205,159,$P$5))</f>
        <v/>
      </c>
      <c r="Q168">
        <f>IF(OR(INDEX('Data'!$D$6:$F$205,159,$P$5)="",INDEX('Data'!$D$6:$F$205,159,$P$6)=""),NA(),INDEX('Data'!$D$6:$F$205,159,$P$6))</f>
        <v/>
      </c>
      <c r="R168">
        <f>IF(ISNA(Q168),"",Q168)</f>
        <v/>
      </c>
    </row>
    <row r="169">
      <c r="P169">
        <f>IF(OR(INDEX('Data'!$D$6:$F$205,160,$P$5)="",INDEX('Data'!$D$6:$F$205,160,$P$6)=""),"",INDEX('Data'!$D$6:$F$205,160,$P$5))</f>
        <v/>
      </c>
      <c r="Q169">
        <f>IF(OR(INDEX('Data'!$D$6:$F$205,160,$P$5)="",INDEX('Data'!$D$6:$F$205,160,$P$6)=""),NA(),INDEX('Data'!$D$6:$F$205,160,$P$6))</f>
        <v/>
      </c>
      <c r="R169">
        <f>IF(ISNA(Q169),"",Q169)</f>
        <v/>
      </c>
    </row>
    <row r="170">
      <c r="P170">
        <f>IF(OR(INDEX('Data'!$D$6:$F$205,161,$P$5)="",INDEX('Data'!$D$6:$F$205,161,$P$6)=""),"",INDEX('Data'!$D$6:$F$205,161,$P$5))</f>
        <v/>
      </c>
      <c r="Q170">
        <f>IF(OR(INDEX('Data'!$D$6:$F$205,161,$P$5)="",INDEX('Data'!$D$6:$F$205,161,$P$6)=""),NA(),INDEX('Data'!$D$6:$F$205,161,$P$6))</f>
        <v/>
      </c>
      <c r="R170">
        <f>IF(ISNA(Q170),"",Q170)</f>
        <v/>
      </c>
    </row>
    <row r="171">
      <c r="P171">
        <f>IF(OR(INDEX('Data'!$D$6:$F$205,162,$P$5)="",INDEX('Data'!$D$6:$F$205,162,$P$6)=""),"",INDEX('Data'!$D$6:$F$205,162,$P$5))</f>
        <v/>
      </c>
      <c r="Q171">
        <f>IF(OR(INDEX('Data'!$D$6:$F$205,162,$P$5)="",INDEX('Data'!$D$6:$F$205,162,$P$6)=""),NA(),INDEX('Data'!$D$6:$F$205,162,$P$6))</f>
        <v/>
      </c>
      <c r="R171">
        <f>IF(ISNA(Q171),"",Q171)</f>
        <v/>
      </c>
    </row>
    <row r="172">
      <c r="P172">
        <f>IF(OR(INDEX('Data'!$D$6:$F$205,163,$P$5)="",INDEX('Data'!$D$6:$F$205,163,$P$6)=""),"",INDEX('Data'!$D$6:$F$205,163,$P$5))</f>
        <v/>
      </c>
      <c r="Q172">
        <f>IF(OR(INDEX('Data'!$D$6:$F$205,163,$P$5)="",INDEX('Data'!$D$6:$F$205,163,$P$6)=""),NA(),INDEX('Data'!$D$6:$F$205,163,$P$6))</f>
        <v/>
      </c>
      <c r="R172">
        <f>IF(ISNA(Q172),"",Q172)</f>
        <v/>
      </c>
    </row>
    <row r="173">
      <c r="P173">
        <f>IF(OR(INDEX('Data'!$D$6:$F$205,164,$P$5)="",INDEX('Data'!$D$6:$F$205,164,$P$6)=""),"",INDEX('Data'!$D$6:$F$205,164,$P$5))</f>
        <v/>
      </c>
      <c r="Q173">
        <f>IF(OR(INDEX('Data'!$D$6:$F$205,164,$P$5)="",INDEX('Data'!$D$6:$F$205,164,$P$6)=""),NA(),INDEX('Data'!$D$6:$F$205,164,$P$6))</f>
        <v/>
      </c>
      <c r="R173">
        <f>IF(ISNA(Q173),"",Q173)</f>
        <v/>
      </c>
    </row>
    <row r="174">
      <c r="P174">
        <f>IF(OR(INDEX('Data'!$D$6:$F$205,165,$P$5)="",INDEX('Data'!$D$6:$F$205,165,$P$6)=""),"",INDEX('Data'!$D$6:$F$205,165,$P$5))</f>
        <v/>
      </c>
      <c r="Q174">
        <f>IF(OR(INDEX('Data'!$D$6:$F$205,165,$P$5)="",INDEX('Data'!$D$6:$F$205,165,$P$6)=""),NA(),INDEX('Data'!$D$6:$F$205,165,$P$6))</f>
        <v/>
      </c>
      <c r="R174">
        <f>IF(ISNA(Q174),"",Q174)</f>
        <v/>
      </c>
    </row>
    <row r="175">
      <c r="P175">
        <f>IF(OR(INDEX('Data'!$D$6:$F$205,166,$P$5)="",INDEX('Data'!$D$6:$F$205,166,$P$6)=""),"",INDEX('Data'!$D$6:$F$205,166,$P$5))</f>
        <v/>
      </c>
      <c r="Q175">
        <f>IF(OR(INDEX('Data'!$D$6:$F$205,166,$P$5)="",INDEX('Data'!$D$6:$F$205,166,$P$6)=""),NA(),INDEX('Data'!$D$6:$F$205,166,$P$6))</f>
        <v/>
      </c>
      <c r="R175">
        <f>IF(ISNA(Q175),"",Q175)</f>
        <v/>
      </c>
    </row>
    <row r="176">
      <c r="P176">
        <f>IF(OR(INDEX('Data'!$D$6:$F$205,167,$P$5)="",INDEX('Data'!$D$6:$F$205,167,$P$6)=""),"",INDEX('Data'!$D$6:$F$205,167,$P$5))</f>
        <v/>
      </c>
      <c r="Q176">
        <f>IF(OR(INDEX('Data'!$D$6:$F$205,167,$P$5)="",INDEX('Data'!$D$6:$F$205,167,$P$6)=""),NA(),INDEX('Data'!$D$6:$F$205,167,$P$6))</f>
        <v/>
      </c>
      <c r="R176">
        <f>IF(ISNA(Q176),"",Q176)</f>
        <v/>
      </c>
    </row>
    <row r="177">
      <c r="P177">
        <f>IF(OR(INDEX('Data'!$D$6:$F$205,168,$P$5)="",INDEX('Data'!$D$6:$F$205,168,$P$6)=""),"",INDEX('Data'!$D$6:$F$205,168,$P$5))</f>
        <v/>
      </c>
      <c r="Q177">
        <f>IF(OR(INDEX('Data'!$D$6:$F$205,168,$P$5)="",INDEX('Data'!$D$6:$F$205,168,$P$6)=""),NA(),INDEX('Data'!$D$6:$F$205,168,$P$6))</f>
        <v/>
      </c>
      <c r="R177">
        <f>IF(ISNA(Q177),"",Q177)</f>
        <v/>
      </c>
    </row>
    <row r="178">
      <c r="P178">
        <f>IF(OR(INDEX('Data'!$D$6:$F$205,169,$P$5)="",INDEX('Data'!$D$6:$F$205,169,$P$6)=""),"",INDEX('Data'!$D$6:$F$205,169,$P$5))</f>
        <v/>
      </c>
      <c r="Q178">
        <f>IF(OR(INDEX('Data'!$D$6:$F$205,169,$P$5)="",INDEX('Data'!$D$6:$F$205,169,$P$6)=""),NA(),INDEX('Data'!$D$6:$F$205,169,$P$6))</f>
        <v/>
      </c>
      <c r="R178">
        <f>IF(ISNA(Q178),"",Q178)</f>
        <v/>
      </c>
    </row>
    <row r="179">
      <c r="P179">
        <f>IF(OR(INDEX('Data'!$D$6:$F$205,170,$P$5)="",INDEX('Data'!$D$6:$F$205,170,$P$6)=""),"",INDEX('Data'!$D$6:$F$205,170,$P$5))</f>
        <v/>
      </c>
      <c r="Q179">
        <f>IF(OR(INDEX('Data'!$D$6:$F$205,170,$P$5)="",INDEX('Data'!$D$6:$F$205,170,$P$6)=""),NA(),INDEX('Data'!$D$6:$F$205,170,$P$6))</f>
        <v/>
      </c>
      <c r="R179">
        <f>IF(ISNA(Q179),"",Q179)</f>
        <v/>
      </c>
    </row>
    <row r="180">
      <c r="P180">
        <f>IF(OR(INDEX('Data'!$D$6:$F$205,171,$P$5)="",INDEX('Data'!$D$6:$F$205,171,$P$6)=""),"",INDEX('Data'!$D$6:$F$205,171,$P$5))</f>
        <v/>
      </c>
      <c r="Q180">
        <f>IF(OR(INDEX('Data'!$D$6:$F$205,171,$P$5)="",INDEX('Data'!$D$6:$F$205,171,$P$6)=""),NA(),INDEX('Data'!$D$6:$F$205,171,$P$6))</f>
        <v/>
      </c>
      <c r="R180">
        <f>IF(ISNA(Q180),"",Q180)</f>
        <v/>
      </c>
    </row>
    <row r="181">
      <c r="P181">
        <f>IF(OR(INDEX('Data'!$D$6:$F$205,172,$P$5)="",INDEX('Data'!$D$6:$F$205,172,$P$6)=""),"",INDEX('Data'!$D$6:$F$205,172,$P$5))</f>
        <v/>
      </c>
      <c r="Q181">
        <f>IF(OR(INDEX('Data'!$D$6:$F$205,172,$P$5)="",INDEX('Data'!$D$6:$F$205,172,$P$6)=""),NA(),INDEX('Data'!$D$6:$F$205,172,$P$6))</f>
        <v/>
      </c>
      <c r="R181">
        <f>IF(ISNA(Q181),"",Q181)</f>
        <v/>
      </c>
    </row>
    <row r="182">
      <c r="P182">
        <f>IF(OR(INDEX('Data'!$D$6:$F$205,173,$P$5)="",INDEX('Data'!$D$6:$F$205,173,$P$6)=""),"",INDEX('Data'!$D$6:$F$205,173,$P$5))</f>
        <v/>
      </c>
      <c r="Q182">
        <f>IF(OR(INDEX('Data'!$D$6:$F$205,173,$P$5)="",INDEX('Data'!$D$6:$F$205,173,$P$6)=""),NA(),INDEX('Data'!$D$6:$F$205,173,$P$6))</f>
        <v/>
      </c>
      <c r="R182">
        <f>IF(ISNA(Q182),"",Q182)</f>
        <v/>
      </c>
    </row>
    <row r="183">
      <c r="P183">
        <f>IF(OR(INDEX('Data'!$D$6:$F$205,174,$P$5)="",INDEX('Data'!$D$6:$F$205,174,$P$6)=""),"",INDEX('Data'!$D$6:$F$205,174,$P$5))</f>
        <v/>
      </c>
      <c r="Q183">
        <f>IF(OR(INDEX('Data'!$D$6:$F$205,174,$P$5)="",INDEX('Data'!$D$6:$F$205,174,$P$6)=""),NA(),INDEX('Data'!$D$6:$F$205,174,$P$6))</f>
        <v/>
      </c>
      <c r="R183">
        <f>IF(ISNA(Q183),"",Q183)</f>
        <v/>
      </c>
    </row>
    <row r="184">
      <c r="P184">
        <f>IF(OR(INDEX('Data'!$D$6:$F$205,175,$P$5)="",INDEX('Data'!$D$6:$F$205,175,$P$6)=""),"",INDEX('Data'!$D$6:$F$205,175,$P$5))</f>
        <v/>
      </c>
      <c r="Q184">
        <f>IF(OR(INDEX('Data'!$D$6:$F$205,175,$P$5)="",INDEX('Data'!$D$6:$F$205,175,$P$6)=""),NA(),INDEX('Data'!$D$6:$F$205,175,$P$6))</f>
        <v/>
      </c>
      <c r="R184">
        <f>IF(ISNA(Q184),"",Q184)</f>
        <v/>
      </c>
    </row>
    <row r="185">
      <c r="P185">
        <f>IF(OR(INDEX('Data'!$D$6:$F$205,176,$P$5)="",INDEX('Data'!$D$6:$F$205,176,$P$6)=""),"",INDEX('Data'!$D$6:$F$205,176,$P$5))</f>
        <v/>
      </c>
      <c r="Q185">
        <f>IF(OR(INDEX('Data'!$D$6:$F$205,176,$P$5)="",INDEX('Data'!$D$6:$F$205,176,$P$6)=""),NA(),INDEX('Data'!$D$6:$F$205,176,$P$6))</f>
        <v/>
      </c>
      <c r="R185">
        <f>IF(ISNA(Q185),"",Q185)</f>
        <v/>
      </c>
    </row>
    <row r="186">
      <c r="P186">
        <f>IF(OR(INDEX('Data'!$D$6:$F$205,177,$P$5)="",INDEX('Data'!$D$6:$F$205,177,$P$6)=""),"",INDEX('Data'!$D$6:$F$205,177,$P$5))</f>
        <v/>
      </c>
      <c r="Q186">
        <f>IF(OR(INDEX('Data'!$D$6:$F$205,177,$P$5)="",INDEX('Data'!$D$6:$F$205,177,$P$6)=""),NA(),INDEX('Data'!$D$6:$F$205,177,$P$6))</f>
        <v/>
      </c>
      <c r="R186">
        <f>IF(ISNA(Q186),"",Q186)</f>
        <v/>
      </c>
    </row>
    <row r="187">
      <c r="P187">
        <f>IF(OR(INDEX('Data'!$D$6:$F$205,178,$P$5)="",INDEX('Data'!$D$6:$F$205,178,$P$6)=""),"",INDEX('Data'!$D$6:$F$205,178,$P$5))</f>
        <v/>
      </c>
      <c r="Q187">
        <f>IF(OR(INDEX('Data'!$D$6:$F$205,178,$P$5)="",INDEX('Data'!$D$6:$F$205,178,$P$6)=""),NA(),INDEX('Data'!$D$6:$F$205,178,$P$6))</f>
        <v/>
      </c>
      <c r="R187">
        <f>IF(ISNA(Q187),"",Q187)</f>
        <v/>
      </c>
    </row>
    <row r="188">
      <c r="P188">
        <f>IF(OR(INDEX('Data'!$D$6:$F$205,179,$P$5)="",INDEX('Data'!$D$6:$F$205,179,$P$6)=""),"",INDEX('Data'!$D$6:$F$205,179,$P$5))</f>
        <v/>
      </c>
      <c r="Q188">
        <f>IF(OR(INDEX('Data'!$D$6:$F$205,179,$P$5)="",INDEX('Data'!$D$6:$F$205,179,$P$6)=""),NA(),INDEX('Data'!$D$6:$F$205,179,$P$6))</f>
        <v/>
      </c>
      <c r="R188">
        <f>IF(ISNA(Q188),"",Q188)</f>
        <v/>
      </c>
    </row>
    <row r="189">
      <c r="P189">
        <f>IF(OR(INDEX('Data'!$D$6:$F$205,180,$P$5)="",INDEX('Data'!$D$6:$F$205,180,$P$6)=""),"",INDEX('Data'!$D$6:$F$205,180,$P$5))</f>
        <v/>
      </c>
      <c r="Q189">
        <f>IF(OR(INDEX('Data'!$D$6:$F$205,180,$P$5)="",INDEX('Data'!$D$6:$F$205,180,$P$6)=""),NA(),INDEX('Data'!$D$6:$F$205,180,$P$6))</f>
        <v/>
      </c>
      <c r="R189">
        <f>IF(ISNA(Q189),"",Q189)</f>
        <v/>
      </c>
    </row>
    <row r="190">
      <c r="P190">
        <f>IF(OR(INDEX('Data'!$D$6:$F$205,181,$P$5)="",INDEX('Data'!$D$6:$F$205,181,$P$6)=""),"",INDEX('Data'!$D$6:$F$205,181,$P$5))</f>
        <v/>
      </c>
      <c r="Q190">
        <f>IF(OR(INDEX('Data'!$D$6:$F$205,181,$P$5)="",INDEX('Data'!$D$6:$F$205,181,$P$6)=""),NA(),INDEX('Data'!$D$6:$F$205,181,$P$6))</f>
        <v/>
      </c>
      <c r="R190">
        <f>IF(ISNA(Q190),"",Q190)</f>
        <v/>
      </c>
    </row>
    <row r="191">
      <c r="P191">
        <f>IF(OR(INDEX('Data'!$D$6:$F$205,182,$P$5)="",INDEX('Data'!$D$6:$F$205,182,$P$6)=""),"",INDEX('Data'!$D$6:$F$205,182,$P$5))</f>
        <v/>
      </c>
      <c r="Q191">
        <f>IF(OR(INDEX('Data'!$D$6:$F$205,182,$P$5)="",INDEX('Data'!$D$6:$F$205,182,$P$6)=""),NA(),INDEX('Data'!$D$6:$F$205,182,$P$6))</f>
        <v/>
      </c>
      <c r="R191">
        <f>IF(ISNA(Q191),"",Q191)</f>
        <v/>
      </c>
    </row>
    <row r="192">
      <c r="P192">
        <f>IF(OR(INDEX('Data'!$D$6:$F$205,183,$P$5)="",INDEX('Data'!$D$6:$F$205,183,$P$6)=""),"",INDEX('Data'!$D$6:$F$205,183,$P$5))</f>
        <v/>
      </c>
      <c r="Q192">
        <f>IF(OR(INDEX('Data'!$D$6:$F$205,183,$P$5)="",INDEX('Data'!$D$6:$F$205,183,$P$6)=""),NA(),INDEX('Data'!$D$6:$F$205,183,$P$6))</f>
        <v/>
      </c>
      <c r="R192">
        <f>IF(ISNA(Q192),"",Q192)</f>
        <v/>
      </c>
    </row>
    <row r="193">
      <c r="P193">
        <f>IF(OR(INDEX('Data'!$D$6:$F$205,184,$P$5)="",INDEX('Data'!$D$6:$F$205,184,$P$6)=""),"",INDEX('Data'!$D$6:$F$205,184,$P$5))</f>
        <v/>
      </c>
      <c r="Q193">
        <f>IF(OR(INDEX('Data'!$D$6:$F$205,184,$P$5)="",INDEX('Data'!$D$6:$F$205,184,$P$6)=""),NA(),INDEX('Data'!$D$6:$F$205,184,$P$6))</f>
        <v/>
      </c>
      <c r="R193">
        <f>IF(ISNA(Q193),"",Q193)</f>
        <v/>
      </c>
    </row>
    <row r="194">
      <c r="P194">
        <f>IF(OR(INDEX('Data'!$D$6:$F$205,185,$P$5)="",INDEX('Data'!$D$6:$F$205,185,$P$6)=""),"",INDEX('Data'!$D$6:$F$205,185,$P$5))</f>
        <v/>
      </c>
      <c r="Q194">
        <f>IF(OR(INDEX('Data'!$D$6:$F$205,185,$P$5)="",INDEX('Data'!$D$6:$F$205,185,$P$6)=""),NA(),INDEX('Data'!$D$6:$F$205,185,$P$6))</f>
        <v/>
      </c>
      <c r="R194">
        <f>IF(ISNA(Q194),"",Q194)</f>
        <v/>
      </c>
    </row>
    <row r="195">
      <c r="P195">
        <f>IF(OR(INDEX('Data'!$D$6:$F$205,186,$P$5)="",INDEX('Data'!$D$6:$F$205,186,$P$6)=""),"",INDEX('Data'!$D$6:$F$205,186,$P$5))</f>
        <v/>
      </c>
      <c r="Q195">
        <f>IF(OR(INDEX('Data'!$D$6:$F$205,186,$P$5)="",INDEX('Data'!$D$6:$F$205,186,$P$6)=""),NA(),INDEX('Data'!$D$6:$F$205,186,$P$6))</f>
        <v/>
      </c>
      <c r="R195">
        <f>IF(ISNA(Q195),"",Q195)</f>
        <v/>
      </c>
    </row>
    <row r="196">
      <c r="P196">
        <f>IF(OR(INDEX('Data'!$D$6:$F$205,187,$P$5)="",INDEX('Data'!$D$6:$F$205,187,$P$6)=""),"",INDEX('Data'!$D$6:$F$205,187,$P$5))</f>
        <v/>
      </c>
      <c r="Q196">
        <f>IF(OR(INDEX('Data'!$D$6:$F$205,187,$P$5)="",INDEX('Data'!$D$6:$F$205,187,$P$6)=""),NA(),INDEX('Data'!$D$6:$F$205,187,$P$6))</f>
        <v/>
      </c>
      <c r="R196">
        <f>IF(ISNA(Q196),"",Q196)</f>
        <v/>
      </c>
    </row>
    <row r="197">
      <c r="P197">
        <f>IF(OR(INDEX('Data'!$D$6:$F$205,188,$P$5)="",INDEX('Data'!$D$6:$F$205,188,$P$6)=""),"",INDEX('Data'!$D$6:$F$205,188,$P$5))</f>
        <v/>
      </c>
      <c r="Q197">
        <f>IF(OR(INDEX('Data'!$D$6:$F$205,188,$P$5)="",INDEX('Data'!$D$6:$F$205,188,$P$6)=""),NA(),INDEX('Data'!$D$6:$F$205,188,$P$6))</f>
        <v/>
      </c>
      <c r="R197">
        <f>IF(ISNA(Q197),"",Q197)</f>
        <v/>
      </c>
    </row>
    <row r="198">
      <c r="P198">
        <f>IF(OR(INDEX('Data'!$D$6:$F$205,189,$P$5)="",INDEX('Data'!$D$6:$F$205,189,$P$6)=""),"",INDEX('Data'!$D$6:$F$205,189,$P$5))</f>
        <v/>
      </c>
      <c r="Q198">
        <f>IF(OR(INDEX('Data'!$D$6:$F$205,189,$P$5)="",INDEX('Data'!$D$6:$F$205,189,$P$6)=""),NA(),INDEX('Data'!$D$6:$F$205,189,$P$6))</f>
        <v/>
      </c>
      <c r="R198">
        <f>IF(ISNA(Q198),"",Q198)</f>
        <v/>
      </c>
    </row>
    <row r="199">
      <c r="P199">
        <f>IF(OR(INDEX('Data'!$D$6:$F$205,190,$P$5)="",INDEX('Data'!$D$6:$F$205,190,$P$6)=""),"",INDEX('Data'!$D$6:$F$205,190,$P$5))</f>
        <v/>
      </c>
      <c r="Q199">
        <f>IF(OR(INDEX('Data'!$D$6:$F$205,190,$P$5)="",INDEX('Data'!$D$6:$F$205,190,$P$6)=""),NA(),INDEX('Data'!$D$6:$F$205,190,$P$6))</f>
        <v/>
      </c>
      <c r="R199">
        <f>IF(ISNA(Q199),"",Q199)</f>
        <v/>
      </c>
    </row>
    <row r="200">
      <c r="P200">
        <f>IF(OR(INDEX('Data'!$D$6:$F$205,191,$P$5)="",INDEX('Data'!$D$6:$F$205,191,$P$6)=""),"",INDEX('Data'!$D$6:$F$205,191,$P$5))</f>
        <v/>
      </c>
      <c r="Q200">
        <f>IF(OR(INDEX('Data'!$D$6:$F$205,191,$P$5)="",INDEX('Data'!$D$6:$F$205,191,$P$6)=""),NA(),INDEX('Data'!$D$6:$F$205,191,$P$6))</f>
        <v/>
      </c>
      <c r="R200">
        <f>IF(ISNA(Q200),"",Q200)</f>
        <v/>
      </c>
    </row>
    <row r="201">
      <c r="P201">
        <f>IF(OR(INDEX('Data'!$D$6:$F$205,192,$P$5)="",INDEX('Data'!$D$6:$F$205,192,$P$6)=""),"",INDEX('Data'!$D$6:$F$205,192,$P$5))</f>
        <v/>
      </c>
      <c r="Q201">
        <f>IF(OR(INDEX('Data'!$D$6:$F$205,192,$P$5)="",INDEX('Data'!$D$6:$F$205,192,$P$6)=""),NA(),INDEX('Data'!$D$6:$F$205,192,$P$6))</f>
        <v/>
      </c>
      <c r="R201">
        <f>IF(ISNA(Q201),"",Q201)</f>
        <v/>
      </c>
    </row>
    <row r="202">
      <c r="P202">
        <f>IF(OR(INDEX('Data'!$D$6:$F$205,193,$P$5)="",INDEX('Data'!$D$6:$F$205,193,$P$6)=""),"",INDEX('Data'!$D$6:$F$205,193,$P$5))</f>
        <v/>
      </c>
      <c r="Q202">
        <f>IF(OR(INDEX('Data'!$D$6:$F$205,193,$P$5)="",INDEX('Data'!$D$6:$F$205,193,$P$6)=""),NA(),INDEX('Data'!$D$6:$F$205,193,$P$6))</f>
        <v/>
      </c>
      <c r="R202">
        <f>IF(ISNA(Q202),"",Q202)</f>
        <v/>
      </c>
    </row>
    <row r="203">
      <c r="P203">
        <f>IF(OR(INDEX('Data'!$D$6:$F$205,194,$P$5)="",INDEX('Data'!$D$6:$F$205,194,$P$6)=""),"",INDEX('Data'!$D$6:$F$205,194,$P$5))</f>
        <v/>
      </c>
      <c r="Q203">
        <f>IF(OR(INDEX('Data'!$D$6:$F$205,194,$P$5)="",INDEX('Data'!$D$6:$F$205,194,$P$6)=""),NA(),INDEX('Data'!$D$6:$F$205,194,$P$6))</f>
        <v/>
      </c>
      <c r="R203">
        <f>IF(ISNA(Q203),"",Q203)</f>
        <v/>
      </c>
    </row>
    <row r="204">
      <c r="P204">
        <f>IF(OR(INDEX('Data'!$D$6:$F$205,195,$P$5)="",INDEX('Data'!$D$6:$F$205,195,$P$6)=""),"",INDEX('Data'!$D$6:$F$205,195,$P$5))</f>
        <v/>
      </c>
      <c r="Q204">
        <f>IF(OR(INDEX('Data'!$D$6:$F$205,195,$P$5)="",INDEX('Data'!$D$6:$F$205,195,$P$6)=""),NA(),INDEX('Data'!$D$6:$F$205,195,$P$6))</f>
        <v/>
      </c>
      <c r="R204">
        <f>IF(ISNA(Q204),"",Q204)</f>
        <v/>
      </c>
    </row>
    <row r="205">
      <c r="P205">
        <f>IF(OR(INDEX('Data'!$D$6:$F$205,196,$P$5)="",INDEX('Data'!$D$6:$F$205,196,$P$6)=""),"",INDEX('Data'!$D$6:$F$205,196,$P$5))</f>
        <v/>
      </c>
      <c r="Q205">
        <f>IF(OR(INDEX('Data'!$D$6:$F$205,196,$P$5)="",INDEX('Data'!$D$6:$F$205,196,$P$6)=""),NA(),INDEX('Data'!$D$6:$F$205,196,$P$6))</f>
        <v/>
      </c>
      <c r="R205">
        <f>IF(ISNA(Q205),"",Q205)</f>
        <v/>
      </c>
    </row>
    <row r="206">
      <c r="P206">
        <f>IF(OR(INDEX('Data'!$D$6:$F$205,197,$P$5)="",INDEX('Data'!$D$6:$F$205,197,$P$6)=""),"",INDEX('Data'!$D$6:$F$205,197,$P$5))</f>
        <v/>
      </c>
      <c r="Q206">
        <f>IF(OR(INDEX('Data'!$D$6:$F$205,197,$P$5)="",INDEX('Data'!$D$6:$F$205,197,$P$6)=""),NA(),INDEX('Data'!$D$6:$F$205,197,$P$6))</f>
        <v/>
      </c>
      <c r="R206">
        <f>IF(ISNA(Q206),"",Q206)</f>
        <v/>
      </c>
    </row>
    <row r="207">
      <c r="P207">
        <f>IF(OR(INDEX('Data'!$D$6:$F$205,198,$P$5)="",INDEX('Data'!$D$6:$F$205,198,$P$6)=""),"",INDEX('Data'!$D$6:$F$205,198,$P$5))</f>
        <v/>
      </c>
      <c r="Q207">
        <f>IF(OR(INDEX('Data'!$D$6:$F$205,198,$P$5)="",INDEX('Data'!$D$6:$F$205,198,$P$6)=""),NA(),INDEX('Data'!$D$6:$F$205,198,$P$6))</f>
        <v/>
      </c>
      <c r="R207">
        <f>IF(ISNA(Q207),"",Q207)</f>
        <v/>
      </c>
    </row>
    <row r="208">
      <c r="P208">
        <f>IF(OR(INDEX('Data'!$D$6:$F$205,199,$P$5)="",INDEX('Data'!$D$6:$F$205,199,$P$6)=""),"",INDEX('Data'!$D$6:$F$205,199,$P$5))</f>
        <v/>
      </c>
      <c r="Q208">
        <f>IF(OR(INDEX('Data'!$D$6:$F$205,199,$P$5)="",INDEX('Data'!$D$6:$F$205,199,$P$6)=""),NA(),INDEX('Data'!$D$6:$F$205,199,$P$6))</f>
        <v/>
      </c>
      <c r="R208">
        <f>IF(ISNA(Q208),"",Q208)</f>
        <v/>
      </c>
    </row>
    <row r="209">
      <c r="P209">
        <f>IF(OR(INDEX('Data'!$D$6:$F$205,200,$P$5)="",INDEX('Data'!$D$6:$F$205,200,$P$6)=""),"",INDEX('Data'!$D$6:$F$205,200,$P$5))</f>
        <v/>
      </c>
      <c r="Q209">
        <f>IF(OR(INDEX('Data'!$D$6:$F$205,200,$P$5)="",INDEX('Data'!$D$6:$F$205,200,$P$6)=""),NA(),INDEX('Data'!$D$6:$F$205,200,$P$6))</f>
        <v/>
      </c>
      <c r="R209">
        <f>IF(ISNA(Q209),"",Q209)</f>
        <v/>
      </c>
    </row>
  </sheetData>
  <mergeCells count="1">
    <mergeCell ref="B20:C20"/>
  </mergeCells>
  <dataValidations count="1">
    <dataValidation sqref="C5:C6" showDropDown="0" showInputMessage="0" showErrorMessage="0" allowBlank="1" type="list">
      <formula1>='Data'!$D$5:$F$5</formula1>
    </dataValidation>
  </dataValidations>
  <pageMargins left="0.75" right="0.75" top="1" bottom="1" header="0.5" footer="0.5"/>
  <pageSetup orientation="landscape" fitToHeight="1" fitToWidth="1"/>
  <headerFooter>
    <oddHeader/>
    <oddFooter>&amp;LSKILLAGILITY · skillagility.com&amp;R&amp;P / &amp;N</oddFooter>
    <evenHeader/>
    <evenFooter/>
    <firstHeader/>
    <firstFooter/>
  </headerFooter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SKILLAGILITY</dc:creator>
  <dc:title xmlns:dc="http://purl.org/dc/elements/1.1/">Statistics Tool</dc:title>
  <dcterms:created xmlns:dcterms="http://purl.org/dc/terms/" xmlns:xsi="http://www.w3.org/2001/XMLSchema-instance" xsi:type="dcterms:W3CDTF">2026-10-12T05:37:13Z</dcterms:created>
  <dcterms:modified xmlns:dcterms="http://purl.org/dc/terms/" xmlns:xsi="http://www.w3.org/2001/XMLSchema-instance" xsi:type="dcterms:W3CDTF">2026-10-12T05:37:13Z</dcterms:modified>
  <cp:lastModifiedBy>SKILLAGILITY</cp:lastModifiedBy>
</cp:coreProperties>
</file>